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Vodstvo poročila\ELABORATI\ELABORATI 2025\GRADIVO ZA SEJO OS ŽIROVNICA\"/>
    </mc:Choice>
  </mc:AlternateContent>
  <xr:revisionPtr revIDLastSave="0" documentId="13_ncr:1_{D73FC366-143B-492F-866C-5029C4D84D72}" xr6:coauthVersionLast="47" xr6:coauthVersionMax="47" xr10:uidLastSave="{00000000-0000-0000-0000-000000000000}"/>
  <bookViews>
    <workbookView xWindow="-120" yWindow="-120" windowWidth="38640" windowHeight="21120" activeTab="7" xr2:uid="{00000000-000D-0000-FFFF-FFFF00000000}"/>
  </bookViews>
  <sheets>
    <sheet name="CENIK_št_1" sheetId="1" r:id="rId1"/>
    <sheet name="KALKULACIJA_CENIK_št_1" sheetId="2" state="hidden" r:id="rId2"/>
    <sheet name="CENIK em" sheetId="7" r:id="rId3"/>
    <sheet name="KALKULACIJA CENIK em" sheetId="8" state="hidden" r:id="rId4"/>
    <sheet name="CENIK_primerjava" sheetId="12" r:id="rId5"/>
    <sheet name="VPLIV NA PRORAČUN" sheetId="10" state="hidden" r:id="rId6"/>
    <sheet name="VPLIV NA PRORAČUN_o.j." sheetId="14" state="hidden" r:id="rId7"/>
    <sheet name="VPLIV NA PRORAČUN_o.ž." sheetId="15" r:id="rId8"/>
  </sheets>
  <externalReferences>
    <externalReference r:id="rId9"/>
  </externalReferences>
  <definedNames>
    <definedName name="_xlnm.Print_Area" localSheetId="2">'CENIK em'!$A$1:$K$98</definedName>
    <definedName name="_xlnm.Print_Area" localSheetId="4">CENIK_primerjava!$A$1:$N$146</definedName>
    <definedName name="_xlnm.Print_Area" localSheetId="0">CENIK_št_1!$A$1:$K$155</definedName>
    <definedName name="_xlnm.Print_Area" localSheetId="3">'KALKULACIJA CENIK em'!$A$1:$J$496</definedName>
    <definedName name="_xlnm.Print_Area" localSheetId="1">KALKULACIJA_CENIK_št_1!$A$1:$K$194</definedName>
    <definedName name="_xlnm.Print_Area" localSheetId="5">'VPLIV NA PRORAČUN'!$B$1:$M$27</definedName>
    <definedName name="_xlnm.Print_Area" localSheetId="6">'VPLIV NA PRORAČUN_o.j.'!$A$1:$E$28</definedName>
    <definedName name="_xlnm.Print_Area" localSheetId="7">'VPLIV NA PRORAČUN_o.ž.'!$A$1:$E$27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5" l="1"/>
  <c r="C14" i="15"/>
  <c r="N143" i="12" l="1"/>
  <c r="H921" i="2"/>
  <c r="B24" i="14"/>
  <c r="B18" i="14" l="1"/>
  <c r="D855" i="2"/>
  <c r="D876" i="2"/>
  <c r="G65" i="2" l="1"/>
  <c r="G64" i="2"/>
  <c r="G55" i="2"/>
  <c r="G54" i="2"/>
  <c r="G53" i="2"/>
  <c r="G47" i="2"/>
  <c r="G46" i="2"/>
  <c r="G45" i="2"/>
  <c r="G37" i="2"/>
  <c r="G35" i="2"/>
  <c r="G34" i="2"/>
  <c r="G28" i="2"/>
  <c r="G27" i="2"/>
  <c r="G26" i="2"/>
  <c r="G25" i="2"/>
  <c r="G24" i="2"/>
  <c r="G23" i="2"/>
  <c r="G22" i="2"/>
  <c r="G21" i="2"/>
  <c r="G15" i="2"/>
  <c r="G14" i="2"/>
  <c r="G13" i="2"/>
  <c r="G12" i="2"/>
  <c r="G11" i="2"/>
  <c r="G10" i="2"/>
  <c r="G9" i="2"/>
  <c r="G8" i="2"/>
  <c r="H8" i="2"/>
  <c r="I402" i="2"/>
  <c r="I66" i="2" l="1"/>
  <c r="I55" i="2"/>
  <c r="I47" i="2"/>
  <c r="I15" i="2"/>
  <c r="I38" i="2"/>
  <c r="I28" i="2"/>
  <c r="G66" i="2"/>
  <c r="G38" i="2"/>
  <c r="G36" i="2"/>
  <c r="G40" i="2"/>
  <c r="I40" i="2" s="1"/>
  <c r="I61" i="2" l="1"/>
  <c r="G930" i="2" l="1"/>
  <c r="G48" i="2" l="1"/>
  <c r="I48" i="2" s="1"/>
  <c r="G16" i="2"/>
  <c r="F264" i="2" l="1"/>
  <c r="H268" i="2"/>
  <c r="G269" i="2"/>
  <c r="D264" i="2"/>
  <c r="H255" i="2"/>
  <c r="H242" i="2"/>
  <c r="G256" i="2"/>
  <c r="H37" i="2" l="1"/>
  <c r="I270" i="2"/>
  <c r="I269" i="2"/>
  <c r="I268" i="2"/>
  <c r="N99" i="12"/>
  <c r="N83" i="12"/>
  <c r="N34" i="12" l="1"/>
  <c r="N35" i="12"/>
  <c r="N36" i="12"/>
  <c r="N37" i="12"/>
  <c r="N38" i="12"/>
  <c r="N39" i="12"/>
  <c r="N40" i="12"/>
  <c r="N30" i="12"/>
  <c r="H34" i="2" l="1"/>
  <c r="C61" i="12" l="1"/>
  <c r="C60" i="12"/>
  <c r="C59" i="12"/>
  <c r="C58" i="12"/>
  <c r="D356" i="2"/>
  <c r="D343" i="2"/>
  <c r="I362" i="2"/>
  <c r="I361" i="2"/>
  <c r="I360" i="2"/>
  <c r="N125" i="12"/>
  <c r="N126" i="12"/>
  <c r="N127" i="12"/>
  <c r="N84" i="12"/>
  <c r="N85" i="12"/>
  <c r="N82" i="12"/>
  <c r="N81" i="12"/>
  <c r="N80" i="12"/>
  <c r="N79" i="12"/>
  <c r="N78" i="12"/>
  <c r="N77" i="12"/>
  <c r="N76" i="12"/>
  <c r="N75" i="12"/>
  <c r="N74" i="12"/>
  <c r="N62" i="12"/>
  <c r="N63" i="12"/>
  <c r="N64" i="12"/>
  <c r="N65" i="12"/>
  <c r="N29" i="12"/>
  <c r="N33" i="12"/>
  <c r="N31" i="12"/>
  <c r="N32" i="12"/>
  <c r="N41" i="12" l="1"/>
  <c r="L20" i="10" l="1"/>
  <c r="L17" i="10"/>
  <c r="L9" i="10"/>
  <c r="L7" i="10"/>
  <c r="L23" i="10" l="1"/>
  <c r="L11" i="10"/>
  <c r="E23" i="10"/>
  <c r="H7" i="10"/>
  <c r="D790" i="2"/>
  <c r="D277" i="2"/>
  <c r="H15" i="2" l="1"/>
  <c r="I16" i="2" l="1"/>
  <c r="D183" i="2"/>
  <c r="D169" i="2"/>
  <c r="I189" i="2"/>
  <c r="I188" i="2"/>
  <c r="H187" i="2"/>
  <c r="I187" i="2" s="1"/>
  <c r="I71" i="2" l="1"/>
  <c r="H13" i="2"/>
  <c r="H45" i="2"/>
  <c r="I133" i="2"/>
  <c r="I74" i="2" l="1"/>
  <c r="J28" i="2" s="1"/>
  <c r="E10" i="10"/>
  <c r="E492" i="8" l="1"/>
  <c r="E491" i="8"/>
  <c r="D484" i="8"/>
  <c r="E483" i="8"/>
  <c r="D467" i="8"/>
  <c r="C124" i="12"/>
  <c r="C123" i="12"/>
  <c r="C98" i="12"/>
  <c r="C55" i="12"/>
  <c r="H794" i="2"/>
  <c r="H793" i="2"/>
  <c r="D778" i="2"/>
  <c r="D779" i="2"/>
  <c r="C777" i="2"/>
  <c r="H782" i="2"/>
  <c r="F780" i="2"/>
  <c r="H783" i="2" s="1"/>
  <c r="I283" i="2"/>
  <c r="I282" i="2"/>
  <c r="I281" i="2"/>
  <c r="D524" i="2"/>
  <c r="H528" i="2"/>
  <c r="H527" i="2"/>
  <c r="H795" i="2" l="1"/>
  <c r="H796" i="2" s="1"/>
  <c r="H797" i="2" s="1"/>
  <c r="K129" i="1" s="1"/>
  <c r="L124" i="12" s="1"/>
  <c r="N124" i="12" s="1"/>
  <c r="H529" i="2"/>
  <c r="H530" i="2" s="1"/>
  <c r="H531" i="2" s="1"/>
  <c r="K104" i="1" s="1"/>
  <c r="L98" i="12" s="1"/>
  <c r="N98" i="12" s="1"/>
  <c r="H784" i="2"/>
  <c r="H785" i="2" l="1"/>
  <c r="H786" i="2" s="1"/>
  <c r="K128" i="1" s="1"/>
  <c r="L123" i="12" s="1"/>
  <c r="N123" i="12" s="1"/>
  <c r="D313" i="8" l="1"/>
  <c r="D251" i="2" l="1"/>
  <c r="H9" i="10" l="1"/>
  <c r="I9" i="10" s="1"/>
  <c r="I7" i="10"/>
  <c r="D1005" i="2"/>
  <c r="D1004" i="2"/>
  <c r="H1000" i="2"/>
  <c r="H1001" i="2" s="1"/>
  <c r="H1002" i="2" s="1"/>
  <c r="I11" i="10" l="1"/>
  <c r="M11" i="10" s="1"/>
  <c r="D997" i="2"/>
  <c r="D985" i="2"/>
  <c r="H993" i="2"/>
  <c r="H992" i="2"/>
  <c r="H991" i="2"/>
  <c r="H990" i="2"/>
  <c r="H989" i="2"/>
  <c r="H988" i="2"/>
  <c r="D973" i="2"/>
  <c r="D961" i="2"/>
  <c r="H981" i="2"/>
  <c r="H980" i="2"/>
  <c r="H979" i="2"/>
  <c r="H978" i="2"/>
  <c r="H977" i="2"/>
  <c r="H976" i="2"/>
  <c r="H968" i="2"/>
  <c r="H967" i="2"/>
  <c r="H966" i="2"/>
  <c r="H965" i="2"/>
  <c r="H964" i="2"/>
  <c r="D949" i="2"/>
  <c r="H957" i="2"/>
  <c r="H956" i="2"/>
  <c r="H955" i="2"/>
  <c r="H954" i="2"/>
  <c r="H953" i="2"/>
  <c r="H952" i="2"/>
  <c r="H940" i="2"/>
  <c r="H942" i="2"/>
  <c r="H943" i="2"/>
  <c r="H944" i="2"/>
  <c r="H945" i="2"/>
  <c r="H941" i="2"/>
  <c r="D937" i="2"/>
  <c r="E455" i="8"/>
  <c r="E448" i="8"/>
  <c r="E460" i="8"/>
  <c r="E459" i="8"/>
  <c r="D457" i="8"/>
  <c r="E456" i="8"/>
  <c r="E444" i="8"/>
  <c r="H971" i="2" l="1"/>
  <c r="H983" i="2"/>
  <c r="H947" i="2"/>
  <c r="H995" i="2"/>
  <c r="H959" i="2"/>
  <c r="E421" i="8"/>
  <c r="E433" i="8" s="1"/>
  <c r="E445" i="8" s="1"/>
  <c r="E425" i="8"/>
  <c r="E437" i="8" s="1"/>
  <c r="E447" i="8" s="1"/>
  <c r="E424" i="8"/>
  <c r="E436" i="8" s="1"/>
  <c r="E423" i="8"/>
  <c r="E435" i="8" s="1"/>
  <c r="E420" i="8"/>
  <c r="E432" i="8" s="1"/>
  <c r="E413" i="8"/>
  <c r="E410" i="8"/>
  <c r="E409" i="8"/>
  <c r="D344" i="8"/>
  <c r="D358" i="8"/>
  <c r="D346" i="8" l="1"/>
  <c r="E343" i="8"/>
  <c r="E355" i="8" s="1"/>
  <c r="E348" i="8"/>
  <c r="E360" i="8" s="1"/>
  <c r="E373" i="8" s="1"/>
  <c r="D347" i="8"/>
  <c r="D359" i="8" s="1"/>
  <c r="D372" i="8" s="1"/>
  <c r="E397" i="8" s="1"/>
  <c r="E303" i="8"/>
  <c r="D299" i="8"/>
  <c r="J290" i="8"/>
  <c r="F276" i="8"/>
  <c r="D262" i="8"/>
  <c r="D275" i="8" s="1"/>
  <c r="D288" i="8" s="1"/>
  <c r="J249" i="8"/>
  <c r="D251" i="8"/>
  <c r="E250" i="8"/>
  <c r="E291" i="8" s="1"/>
  <c r="D301" i="8" s="1"/>
  <c r="E248" i="8"/>
  <c r="E263" i="8" s="1"/>
  <c r="E276" i="8" s="1"/>
  <c r="D247" i="8"/>
  <c r="E236" i="8"/>
  <c r="E264" i="8" s="1"/>
  <c r="E277" i="8" s="1"/>
  <c r="D237" i="8"/>
  <c r="D265" i="8" s="1"/>
  <c r="D278" i="8" s="1"/>
  <c r="D292" i="8" s="1"/>
  <c r="E235" i="8"/>
  <c r="D234" i="8"/>
  <c r="D224" i="8"/>
  <c r="E223" i="8"/>
  <c r="E222" i="8"/>
  <c r="D221" i="8"/>
  <c r="E219" i="8"/>
  <c r="D218" i="8"/>
  <c r="E208" i="8"/>
  <c r="D634" i="2"/>
  <c r="I639" i="2"/>
  <c r="I638" i="2"/>
  <c r="I637" i="2"/>
  <c r="D195" i="8"/>
  <c r="J173" i="8"/>
  <c r="E172" i="8"/>
  <c r="D169" i="8"/>
  <c r="E154" i="8"/>
  <c r="D155" i="8"/>
  <c r="E137" i="8"/>
  <c r="E123" i="8"/>
  <c r="I640" i="2" l="1"/>
  <c r="E384" i="8"/>
  <c r="D398" i="8"/>
  <c r="E289" i="8"/>
  <c r="I641" i="2"/>
  <c r="I642" i="2" s="1"/>
  <c r="K116" i="1" s="1"/>
  <c r="L111" i="12" s="1"/>
  <c r="N111" i="12" s="1"/>
  <c r="J144" i="8"/>
  <c r="J143" i="8"/>
  <c r="J142" i="8"/>
  <c r="D124" i="8"/>
  <c r="D110" i="8"/>
  <c r="D100" i="8"/>
  <c r="J113" i="8"/>
  <c r="J103" i="8"/>
  <c r="D93" i="8"/>
  <c r="D85" i="8"/>
  <c r="J83" i="8"/>
  <c r="J70" i="8"/>
  <c r="D71" i="8"/>
  <c r="D84" i="8" s="1"/>
  <c r="J58" i="8"/>
  <c r="D72" i="8"/>
  <c r="D54" i="8"/>
  <c r="E56" i="8"/>
  <c r="D55" i="8"/>
  <c r="E59" i="8"/>
  <c r="G295" i="2"/>
  <c r="G243" i="2"/>
  <c r="G216" i="2"/>
  <c r="G174" i="2"/>
  <c r="I174" i="2" s="1"/>
  <c r="G146" i="2"/>
  <c r="G160" i="2"/>
  <c r="G132" i="2"/>
  <c r="D41" i="8"/>
  <c r="D24" i="8"/>
  <c r="J44" i="8"/>
  <c r="J43" i="8"/>
  <c r="D27" i="8"/>
  <c r="D25" i="8"/>
  <c r="J30" i="8"/>
  <c r="J29" i="8"/>
  <c r="D916" i="2"/>
  <c r="D897" i="2"/>
  <c r="D874" i="2"/>
  <c r="D895" i="2" s="1"/>
  <c r="D914" i="2" s="1"/>
  <c r="D926" i="2" s="1"/>
  <c r="D865" i="2"/>
  <c r="D847" i="2"/>
  <c r="D845" i="2"/>
  <c r="D838" i="2"/>
  <c r="D848" i="2" s="1"/>
  <c r="D837" i="2"/>
  <c r="D835" i="2"/>
  <c r="J806" i="2"/>
  <c r="J808" i="2"/>
  <c r="J809" i="2"/>
  <c r="D824" i="2"/>
  <c r="D812" i="2"/>
  <c r="D822" i="2" s="1"/>
  <c r="D833" i="2" s="1"/>
  <c r="D843" i="2" s="1"/>
  <c r="D853" i="2" s="1"/>
  <c r="D863" i="2" s="1"/>
  <c r="D819" i="2"/>
  <c r="D829" i="2" s="1"/>
  <c r="D840" i="2" s="1"/>
  <c r="D850" i="2" s="1"/>
  <c r="D860" i="2" s="1"/>
  <c r="D817" i="2"/>
  <c r="D827" i="2" s="1"/>
  <c r="D816" i="2"/>
  <c r="D826" i="2" s="1"/>
  <c r="D814" i="2"/>
  <c r="D800" i="2"/>
  <c r="D804" i="2"/>
  <c r="D802" i="2"/>
  <c r="H930" i="2"/>
  <c r="H931" i="2" s="1"/>
  <c r="H933" i="2" s="1"/>
  <c r="K145" i="1" s="1"/>
  <c r="H923" i="2"/>
  <c r="K144" i="1" s="1"/>
  <c r="K902" i="2"/>
  <c r="K899" i="2"/>
  <c r="K900" i="2" s="1"/>
  <c r="K880" i="2"/>
  <c r="K879" i="2"/>
  <c r="K878" i="2"/>
  <c r="I869" i="2"/>
  <c r="K141" i="1" s="1"/>
  <c r="L141" i="12" l="1"/>
  <c r="N141" i="12" s="1"/>
  <c r="L142" i="12"/>
  <c r="N142" i="12" s="1"/>
  <c r="G208" i="8"/>
  <c r="J208" i="8" s="1"/>
  <c r="G381" i="8"/>
  <c r="G459" i="8"/>
  <c r="J459" i="8" s="1"/>
  <c r="G425" i="8"/>
  <c r="G413" i="8"/>
  <c r="J413" i="8" s="1"/>
  <c r="K881" i="2"/>
  <c r="K885" i="2" s="1"/>
  <c r="D858" i="2"/>
  <c r="D857" i="2"/>
  <c r="K904" i="2"/>
  <c r="J425" i="8" l="1"/>
  <c r="G437" i="8"/>
  <c r="J381" i="8"/>
  <c r="G392" i="8"/>
  <c r="J392" i="8" s="1"/>
  <c r="D768" i="2"/>
  <c r="H754" i="2"/>
  <c r="H753" i="2"/>
  <c r="I614" i="2"/>
  <c r="H772" i="2"/>
  <c r="H771" i="2"/>
  <c r="D749" i="2"/>
  <c r="H752" i="2"/>
  <c r="I590" i="2"/>
  <c r="I565" i="2"/>
  <c r="J437" i="8" l="1"/>
  <c r="G447" i="8"/>
  <c r="J447" i="8" s="1"/>
  <c r="H755" i="2"/>
  <c r="H756" i="2" s="1"/>
  <c r="H757" i="2" s="1"/>
  <c r="G763" i="2" s="1"/>
  <c r="H773" i="2"/>
  <c r="H774" i="2" s="1"/>
  <c r="H775" i="2" s="1"/>
  <c r="K127" i="1" s="1"/>
  <c r="L122" i="12" s="1"/>
  <c r="N122" i="12" s="1"/>
  <c r="H307" i="2"/>
  <c r="H294" i="2"/>
  <c r="I147" i="2"/>
  <c r="H763" i="2" l="1"/>
  <c r="D107" i="2"/>
  <c r="D457" i="2"/>
  <c r="D446" i="2"/>
  <c r="H461" i="2"/>
  <c r="H460" i="2"/>
  <c r="D424" i="2"/>
  <c r="I416" i="2"/>
  <c r="I415" i="2"/>
  <c r="D383" i="2"/>
  <c r="D370" i="2"/>
  <c r="H462" i="2" l="1"/>
  <c r="H463" i="2" s="1"/>
  <c r="H464" i="2" s="1"/>
  <c r="K98" i="1" s="1"/>
  <c r="L92" i="12" s="1"/>
  <c r="N92" i="12" s="1"/>
  <c r="D224" i="2" l="1"/>
  <c r="H131" i="2" l="1"/>
  <c r="H64" i="2" l="1"/>
  <c r="H65" i="2"/>
  <c r="G71" i="2"/>
  <c r="H55" i="2"/>
  <c r="H53" i="2"/>
  <c r="G56" i="2"/>
  <c r="H66" i="2" l="1"/>
  <c r="I56" i="2"/>
  <c r="H71" i="2"/>
  <c r="G72" i="2"/>
  <c r="I72" i="2"/>
  <c r="H72" i="2" l="1"/>
  <c r="H68" i="2"/>
  <c r="H67" i="2"/>
  <c r="D141" i="2"/>
  <c r="I145" i="2"/>
  <c r="I146" i="2"/>
  <c r="I175" i="2"/>
  <c r="D198" i="2"/>
  <c r="H69" i="2" l="1"/>
  <c r="J15" i="2"/>
  <c r="J55" i="2"/>
  <c r="J56" i="2" s="1"/>
  <c r="J66" i="2"/>
  <c r="K66" i="2" s="1"/>
  <c r="J47" i="2"/>
  <c r="J16" i="2" l="1"/>
  <c r="J48" i="2"/>
  <c r="J72" i="2"/>
  <c r="K67" i="2"/>
  <c r="K71" i="2"/>
  <c r="J71" i="2"/>
  <c r="J67" i="2"/>
  <c r="G29" i="2" l="1"/>
  <c r="H47" i="2"/>
  <c r="H14" i="2"/>
  <c r="H54" i="2"/>
  <c r="H56" i="2" s="1"/>
  <c r="G108" i="2" s="1"/>
  <c r="H144" i="2" s="1"/>
  <c r="H46" i="2"/>
  <c r="H38" i="2"/>
  <c r="H36" i="2"/>
  <c r="H35" i="2"/>
  <c r="H40" i="2" s="1"/>
  <c r="H48" i="2" l="1"/>
  <c r="G97" i="2" s="1"/>
  <c r="I29" i="2"/>
  <c r="G61" i="2"/>
  <c r="G74" i="2" s="1"/>
  <c r="H74" i="2" s="1"/>
  <c r="H359" i="2"/>
  <c r="I359" i="2" s="1"/>
  <c r="I363" i="2" s="1"/>
  <c r="I364" i="2" s="1"/>
  <c r="I365" i="2" s="1"/>
  <c r="K69" i="1" s="1"/>
  <c r="L61" i="12" s="1"/>
  <c r="N61" i="12" s="1"/>
  <c r="H57" i="2"/>
  <c r="H58" i="2"/>
  <c r="K56" i="2"/>
  <c r="K57" i="2" s="1"/>
  <c r="H28" i="2"/>
  <c r="H27" i="2"/>
  <c r="H26" i="2"/>
  <c r="H25" i="2"/>
  <c r="H24" i="2"/>
  <c r="H23" i="2"/>
  <c r="H22" i="2"/>
  <c r="H21" i="2"/>
  <c r="H12" i="2"/>
  <c r="H11" i="2"/>
  <c r="H10" i="2"/>
  <c r="H9" i="2"/>
  <c r="K72" i="2" l="1"/>
  <c r="G87" i="2"/>
  <c r="H59" i="2"/>
  <c r="K48" i="2"/>
  <c r="H16" i="2"/>
  <c r="H29" i="2"/>
  <c r="K29" i="2" s="1"/>
  <c r="H61" i="2"/>
  <c r="H41" i="2"/>
  <c r="H42" i="2"/>
  <c r="H50" i="2"/>
  <c r="H49" i="2"/>
  <c r="G85" i="2" l="1"/>
  <c r="G86" i="2"/>
  <c r="H87" i="2" s="1"/>
  <c r="H51" i="2"/>
  <c r="H43" i="2"/>
  <c r="H400" i="2" s="1"/>
  <c r="I400" i="2" s="1"/>
  <c r="K16" i="2"/>
  <c r="H31" i="2"/>
  <c r="H18" i="2"/>
  <c r="H17" i="2"/>
  <c r="H19" i="2" s="1"/>
  <c r="H30" i="2"/>
  <c r="J38" i="2"/>
  <c r="K40" i="2" l="1"/>
  <c r="J61" i="2"/>
  <c r="J74" i="2" s="1"/>
  <c r="H201" i="2"/>
  <c r="H241" i="2"/>
  <c r="H267" i="2"/>
  <c r="I267" i="2" s="1"/>
  <c r="I271" i="2" s="1"/>
  <c r="I272" i="2" s="1"/>
  <c r="I273" i="2" s="1"/>
  <c r="G88" i="2"/>
  <c r="H227" i="2"/>
  <c r="H32" i="2"/>
  <c r="H158" i="2"/>
  <c r="I158" i="2" s="1"/>
  <c r="H130" i="2"/>
  <c r="H172" i="2"/>
  <c r="I172" i="2" s="1"/>
  <c r="H186" i="2"/>
  <c r="H373" i="2"/>
  <c r="H254" i="2"/>
  <c r="H280" i="2" s="1"/>
  <c r="I280" i="2" s="1"/>
  <c r="I284" i="2" s="1"/>
  <c r="I285" i="2" s="1"/>
  <c r="I286" i="2" s="1"/>
  <c r="K63" i="1" s="1"/>
  <c r="L55" i="12" s="1"/>
  <c r="N55" i="12" s="1"/>
  <c r="H320" i="2"/>
  <c r="H214" i="2"/>
  <c r="H333" i="2"/>
  <c r="H293" i="2"/>
  <c r="H346" i="2"/>
  <c r="H386" i="2"/>
  <c r="H306" i="2"/>
  <c r="J40" i="2"/>
  <c r="J29" i="2"/>
  <c r="G110" i="2"/>
  <c r="G89" i="2" l="1"/>
  <c r="H89" i="2" s="1"/>
  <c r="G91" i="2" s="1"/>
  <c r="H88" i="2"/>
  <c r="K61" i="2"/>
  <c r="G120" i="2" s="1"/>
  <c r="L54" i="12"/>
  <c r="K62" i="1"/>
  <c r="G90" i="2"/>
  <c r="H92" i="2" s="1"/>
  <c r="K32" i="1" s="1"/>
  <c r="G467" i="8"/>
  <c r="J467" i="8" s="1"/>
  <c r="K74" i="2" l="1"/>
  <c r="I76" i="2" s="1"/>
  <c r="J76" i="2" s="1"/>
  <c r="H120" i="2"/>
  <c r="H122" i="2" s="1"/>
  <c r="I78" i="2" l="1"/>
  <c r="I77" i="2"/>
  <c r="J77" i="2" s="1"/>
  <c r="J78" i="2" s="1"/>
  <c r="D548" i="2"/>
  <c r="I161" i="2"/>
  <c r="G98" i="2"/>
  <c r="G99" i="2" l="1"/>
  <c r="J79" i="2"/>
  <c r="J301" i="8"/>
  <c r="H99" i="2" l="1"/>
  <c r="H450" i="2"/>
  <c r="H449" i="2"/>
  <c r="H428" i="2"/>
  <c r="H427" i="2"/>
  <c r="C422" i="2"/>
  <c r="G100" i="2" l="1"/>
  <c r="H100" i="2" s="1"/>
  <c r="G101" i="2" s="1"/>
  <c r="H101" i="2" s="1"/>
  <c r="H429" i="2"/>
  <c r="H430" i="2" s="1"/>
  <c r="H431" i="2" s="1"/>
  <c r="H451" i="2"/>
  <c r="H452" i="2" s="1"/>
  <c r="H453" i="2" s="1"/>
  <c r="I309" i="2"/>
  <c r="I308" i="2"/>
  <c r="I307" i="2"/>
  <c r="D303" i="2"/>
  <c r="L137" i="12" l="1"/>
  <c r="N137" i="12" s="1"/>
  <c r="D738" i="2" l="1"/>
  <c r="H742" i="2"/>
  <c r="H741" i="2"/>
  <c r="H731" i="2"/>
  <c r="D727" i="2"/>
  <c r="H730" i="2"/>
  <c r="D705" i="2"/>
  <c r="H709" i="2"/>
  <c r="H708" i="2"/>
  <c r="D671" i="2"/>
  <c r="I676" i="2"/>
  <c r="I675" i="2"/>
  <c r="I674" i="2"/>
  <c r="D716" i="2"/>
  <c r="H719" i="2"/>
  <c r="H720" i="2"/>
  <c r="H743" i="2" l="1"/>
  <c r="H732" i="2"/>
  <c r="H733" i="2" s="1"/>
  <c r="H710" i="2"/>
  <c r="H711" i="2" s="1"/>
  <c r="H712" i="2" s="1"/>
  <c r="I677" i="2"/>
  <c r="I678" i="2" s="1"/>
  <c r="I679" i="2" s="1"/>
  <c r="H721" i="2"/>
  <c r="H722" i="2" s="1"/>
  <c r="H723" i="2" s="1"/>
  <c r="D694" i="2"/>
  <c r="H698" i="2"/>
  <c r="H697" i="2"/>
  <c r="D683" i="2"/>
  <c r="H687" i="2"/>
  <c r="H686" i="2"/>
  <c r="D646" i="2"/>
  <c r="D658" i="2"/>
  <c r="I663" i="2"/>
  <c r="I662" i="2"/>
  <c r="I661" i="2"/>
  <c r="I651" i="2"/>
  <c r="I650" i="2"/>
  <c r="I649" i="2"/>
  <c r="D622" i="2"/>
  <c r="I627" i="2"/>
  <c r="I626" i="2"/>
  <c r="I625" i="2"/>
  <c r="D610" i="2"/>
  <c r="I615" i="2"/>
  <c r="I613" i="2"/>
  <c r="D597" i="2"/>
  <c r="I602" i="2"/>
  <c r="I601" i="2"/>
  <c r="I600" i="2"/>
  <c r="D585" i="2"/>
  <c r="I589" i="2"/>
  <c r="I588" i="2"/>
  <c r="D573" i="2"/>
  <c r="I578" i="2"/>
  <c r="I577" i="2"/>
  <c r="I576" i="2"/>
  <c r="D561" i="2"/>
  <c r="I566" i="2"/>
  <c r="I564" i="2"/>
  <c r="C546" i="2"/>
  <c r="C559" i="2" s="1"/>
  <c r="C571" i="2" s="1"/>
  <c r="C583" i="2" s="1"/>
  <c r="C595" i="2" s="1"/>
  <c r="C608" i="2" s="1"/>
  <c r="C620" i="2" s="1"/>
  <c r="C534" i="2"/>
  <c r="I553" i="2"/>
  <c r="I552" i="2"/>
  <c r="I551" i="2"/>
  <c r="C644" i="2" l="1"/>
  <c r="C656" i="2" s="1"/>
  <c r="C681" i="2" s="1"/>
  <c r="C692" i="2" s="1"/>
  <c r="C703" i="2" s="1"/>
  <c r="C632" i="2"/>
  <c r="H744" i="2"/>
  <c r="H745" i="2" s="1"/>
  <c r="K125" i="1" s="1"/>
  <c r="K123" i="1"/>
  <c r="L118" i="12"/>
  <c r="N118" i="12" s="1"/>
  <c r="K119" i="1"/>
  <c r="G423" i="8" s="1"/>
  <c r="L114" i="12"/>
  <c r="N114" i="12" s="1"/>
  <c r="K122" i="1"/>
  <c r="L117" i="12"/>
  <c r="N117" i="12" s="1"/>
  <c r="H734" i="2"/>
  <c r="I554" i="2"/>
  <c r="I555" i="2" s="1"/>
  <c r="I556" i="2" s="1"/>
  <c r="H699" i="2"/>
  <c r="H700" i="2" s="1"/>
  <c r="H701" i="2" s="1"/>
  <c r="H688" i="2"/>
  <c r="H689" i="2" s="1"/>
  <c r="H690" i="2" s="1"/>
  <c r="I664" i="2"/>
  <c r="I665" i="2" s="1"/>
  <c r="I666" i="2" s="1"/>
  <c r="I652" i="2"/>
  <c r="I653" i="2" s="1"/>
  <c r="I654" i="2" s="1"/>
  <c r="I628" i="2"/>
  <c r="I629" i="2" s="1"/>
  <c r="I630" i="2" s="1"/>
  <c r="I616" i="2"/>
  <c r="I617" i="2" s="1"/>
  <c r="I603" i="2"/>
  <c r="I604" i="2" s="1"/>
  <c r="I605" i="2" s="1"/>
  <c r="I591" i="2"/>
  <c r="I592" i="2" s="1"/>
  <c r="I593" i="2" s="1"/>
  <c r="I579" i="2"/>
  <c r="I580" i="2" s="1"/>
  <c r="I581" i="2" s="1"/>
  <c r="I567" i="2"/>
  <c r="I568" i="2" s="1"/>
  <c r="I569" i="2" s="1"/>
  <c r="C714" i="2" l="1"/>
  <c r="C669" i="2" s="1"/>
  <c r="J423" i="8"/>
  <c r="G435" i="8"/>
  <c r="J435" i="8" s="1"/>
  <c r="L120" i="12"/>
  <c r="N120" i="12" s="1"/>
  <c r="K113" i="1"/>
  <c r="L108" i="12"/>
  <c r="N108" i="12" s="1"/>
  <c r="K110" i="1"/>
  <c r="G346" i="8" s="1"/>
  <c r="J346" i="8" s="1"/>
  <c r="L105" i="12"/>
  <c r="N105" i="12" s="1"/>
  <c r="K120" i="1"/>
  <c r="L115" i="12"/>
  <c r="N115" i="12" s="1"/>
  <c r="K118" i="1"/>
  <c r="L113" i="12"/>
  <c r="N113" i="12" s="1"/>
  <c r="K115" i="1"/>
  <c r="L110" i="12"/>
  <c r="N110" i="12" s="1"/>
  <c r="K124" i="1"/>
  <c r="L119" i="12"/>
  <c r="N119" i="12" s="1"/>
  <c r="K111" i="1"/>
  <c r="L106" i="12"/>
  <c r="N106" i="12" s="1"/>
  <c r="K121" i="1"/>
  <c r="L116" i="12"/>
  <c r="N116" i="12" s="1"/>
  <c r="K112" i="1"/>
  <c r="L107" i="12"/>
  <c r="N107" i="12" s="1"/>
  <c r="K117" i="1"/>
  <c r="L112" i="12"/>
  <c r="N112" i="12" s="1"/>
  <c r="K109" i="1"/>
  <c r="L104" i="12"/>
  <c r="N104" i="12" s="1"/>
  <c r="I618" i="2"/>
  <c r="D513" i="2"/>
  <c r="H517" i="2"/>
  <c r="H516" i="2"/>
  <c r="D502" i="2"/>
  <c r="H506" i="2"/>
  <c r="H505" i="2"/>
  <c r="C433" i="2"/>
  <c r="D491" i="2"/>
  <c r="H494" i="2"/>
  <c r="H495" i="2"/>
  <c r="G347" i="8" l="1"/>
  <c r="G359" i="8" s="1"/>
  <c r="G397" i="8"/>
  <c r="J397" i="8" s="1"/>
  <c r="G372" i="8"/>
  <c r="G303" i="8"/>
  <c r="J303" i="8" s="1"/>
  <c r="G424" i="8"/>
  <c r="G59" i="8"/>
  <c r="J59" i="8" s="1"/>
  <c r="G72" i="8"/>
  <c r="J72" i="8" s="1"/>
  <c r="C725" i="2"/>
  <c r="C747" i="2" s="1"/>
  <c r="C766" i="2" s="1"/>
  <c r="C444" i="2"/>
  <c r="K114" i="1"/>
  <c r="L109" i="12"/>
  <c r="N109" i="12" s="1"/>
  <c r="H496" i="2"/>
  <c r="H497" i="2" s="1"/>
  <c r="H498" i="2" s="1"/>
  <c r="H518" i="2"/>
  <c r="H519" i="2" s="1"/>
  <c r="H520" i="2" s="1"/>
  <c r="H507" i="2"/>
  <c r="D480" i="2"/>
  <c r="H484" i="2"/>
  <c r="H483" i="2"/>
  <c r="D468" i="2"/>
  <c r="H472" i="2"/>
  <c r="H471" i="2"/>
  <c r="D435" i="2"/>
  <c r="H439" i="2"/>
  <c r="H438" i="2"/>
  <c r="J347" i="8" l="1"/>
  <c r="J424" i="8"/>
  <c r="G436" i="8"/>
  <c r="J436" i="8" s="1"/>
  <c r="G348" i="8"/>
  <c r="J348" i="8" s="1"/>
  <c r="G448" i="8"/>
  <c r="J448" i="8" s="1"/>
  <c r="G460" i="8"/>
  <c r="J460" i="8" s="1"/>
  <c r="G360" i="8"/>
  <c r="G373" i="8" s="1"/>
  <c r="J359" i="8"/>
  <c r="J372" i="8"/>
  <c r="C466" i="2"/>
  <c r="C478" i="2" s="1"/>
  <c r="C489" i="2" s="1"/>
  <c r="C500" i="2" s="1"/>
  <c r="C511" i="2" s="1"/>
  <c r="C522" i="2" s="1"/>
  <c r="C455" i="2"/>
  <c r="C736" i="2"/>
  <c r="K101" i="1"/>
  <c r="G368" i="8" s="1"/>
  <c r="J368" i="8" s="1"/>
  <c r="L95" i="12"/>
  <c r="N95" i="12" s="1"/>
  <c r="K103" i="1"/>
  <c r="L97" i="12"/>
  <c r="N97" i="12" s="1"/>
  <c r="H508" i="2"/>
  <c r="H509" i="2" s="1"/>
  <c r="H485" i="2"/>
  <c r="H486" i="2" s="1"/>
  <c r="H487" i="2" s="1"/>
  <c r="H473" i="2"/>
  <c r="H474" i="2" s="1"/>
  <c r="H475" i="2" s="1"/>
  <c r="L93" i="12" s="1"/>
  <c r="N93" i="12" s="1"/>
  <c r="H440" i="2"/>
  <c r="H441" i="2" s="1"/>
  <c r="J373" i="8" l="1"/>
  <c r="G384" i="8"/>
  <c r="G224" i="8"/>
  <c r="G237" i="8"/>
  <c r="J237" i="8" s="1"/>
  <c r="G251" i="8"/>
  <c r="J251" i="8" s="1"/>
  <c r="K100" i="1"/>
  <c r="L94" i="12"/>
  <c r="N94" i="12" s="1"/>
  <c r="K102" i="1"/>
  <c r="L96" i="12"/>
  <c r="N96" i="12" s="1"/>
  <c r="K97" i="1"/>
  <c r="L91" i="12"/>
  <c r="N91" i="12" s="1"/>
  <c r="K99" i="1"/>
  <c r="H442" i="2"/>
  <c r="G398" i="8" l="1"/>
  <c r="J398" i="8" s="1"/>
  <c r="J384" i="8"/>
  <c r="J224" i="8"/>
  <c r="G265" i="8"/>
  <c r="K96" i="1"/>
  <c r="L90" i="12"/>
  <c r="N90" i="12" s="1"/>
  <c r="H414" i="2"/>
  <c r="I414" i="2" s="1"/>
  <c r="H401" i="2"/>
  <c r="I401" i="2" s="1"/>
  <c r="D410" i="2"/>
  <c r="D397" i="2"/>
  <c r="I403" i="2"/>
  <c r="H387" i="2"/>
  <c r="I387" i="2" s="1"/>
  <c r="I389" i="2"/>
  <c r="I388" i="2"/>
  <c r="I404" i="2" l="1"/>
  <c r="G278" i="8"/>
  <c r="J265" i="8"/>
  <c r="H374" i="2"/>
  <c r="G292" i="8" l="1"/>
  <c r="J292" i="8" s="1"/>
  <c r="J278" i="8"/>
  <c r="H173" i="2"/>
  <c r="I173" i="2" s="1"/>
  <c r="I132" i="2"/>
  <c r="H159" i="2"/>
  <c r="I131" i="2" l="1"/>
  <c r="D536" i="2" l="1"/>
  <c r="I541" i="2"/>
  <c r="I540" i="2"/>
  <c r="I539" i="2"/>
  <c r="I542" i="2" l="1"/>
  <c r="I543" i="2" s="1"/>
  <c r="I544" i="2" s="1"/>
  <c r="K108" i="1" l="1"/>
  <c r="G358" i="8" s="1"/>
  <c r="J358" i="8" s="1"/>
  <c r="L103" i="12"/>
  <c r="N103" i="12" s="1"/>
  <c r="K95" i="1"/>
  <c r="L89" i="12"/>
  <c r="I374" i="2"/>
  <c r="I376" i="2"/>
  <c r="I375" i="2"/>
  <c r="H347" i="2"/>
  <c r="I347" i="2" s="1"/>
  <c r="H334" i="2"/>
  <c r="I334" i="2" s="1"/>
  <c r="H321" i="2"/>
  <c r="I321" i="2" s="1"/>
  <c r="I349" i="2"/>
  <c r="I348" i="2"/>
  <c r="I336" i="2"/>
  <c r="D330" i="2"/>
  <c r="I335" i="2"/>
  <c r="D317" i="2"/>
  <c r="I323" i="2"/>
  <c r="I322" i="2"/>
  <c r="N89" i="12" l="1"/>
  <c r="N100" i="12" s="1"/>
  <c r="I294" i="2"/>
  <c r="I295" i="2"/>
  <c r="D290" i="2"/>
  <c r="I296" i="2"/>
  <c r="I229" i="2"/>
  <c r="I243" i="2"/>
  <c r="I256" i="2"/>
  <c r="I255" i="2"/>
  <c r="I257" i="2"/>
  <c r="I203" i="2"/>
  <c r="I216" i="2"/>
  <c r="H215" i="2"/>
  <c r="I215" i="2" s="1"/>
  <c r="I242" i="2"/>
  <c r="I202" i="2"/>
  <c r="D238" i="2"/>
  <c r="I244" i="2"/>
  <c r="I228" i="2"/>
  <c r="I230" i="2"/>
  <c r="I159" i="2"/>
  <c r="D211" i="2"/>
  <c r="I217" i="2"/>
  <c r="I204" i="2"/>
  <c r="I160" i="2"/>
  <c r="D155" i="2"/>
  <c r="G121" i="2" l="1"/>
  <c r="K35" i="1" l="1"/>
  <c r="G109" i="2"/>
  <c r="H110" i="2" s="1"/>
  <c r="G111" i="2" l="1"/>
  <c r="H111" i="2" s="1"/>
  <c r="G112" i="2" s="1"/>
  <c r="H112" i="2" s="1"/>
  <c r="L25" i="12"/>
  <c r="N25" i="12" s="1"/>
  <c r="G113" i="2" l="1"/>
  <c r="H114" i="2" s="1"/>
  <c r="G102" i="2" l="1"/>
  <c r="H103" i="2" s="1"/>
  <c r="K33" i="1" s="1"/>
  <c r="G218" i="8" l="1"/>
  <c r="G343" i="8" s="1"/>
  <c r="L24" i="12"/>
  <c r="N24" i="12" s="1"/>
  <c r="K34" i="1"/>
  <c r="I144" i="2"/>
  <c r="I148" i="2" s="1"/>
  <c r="I149" i="2" s="1"/>
  <c r="I150" i="2" s="1"/>
  <c r="K53" i="1" s="1"/>
  <c r="L23" i="12"/>
  <c r="I151" i="2" l="1"/>
  <c r="F21" i="10"/>
  <c r="F18" i="10"/>
  <c r="N23" i="12"/>
  <c r="F22" i="10"/>
  <c r="F19" i="10"/>
  <c r="G320" i="8"/>
  <c r="J320" i="8" s="1"/>
  <c r="G330" i="8"/>
  <c r="J330" i="8" s="1"/>
  <c r="G310" i="8"/>
  <c r="J310" i="8" s="1"/>
  <c r="G1004" i="2"/>
  <c r="H1004" i="2" s="1"/>
  <c r="G1005" i="2"/>
  <c r="H1005" i="2" s="1"/>
  <c r="G457" i="8"/>
  <c r="J457" i="8" s="1"/>
  <c r="G370" i="8"/>
  <c r="G421" i="8"/>
  <c r="G244" i="8"/>
  <c r="J244" i="8" s="1"/>
  <c r="G259" i="8"/>
  <c r="G231" i="8"/>
  <c r="J231" i="8" s="1"/>
  <c r="G154" i="8"/>
  <c r="J154" i="8" s="1"/>
  <c r="G123" i="8"/>
  <c r="J123" i="8" s="1"/>
  <c r="G169" i="8"/>
  <c r="G181" i="8"/>
  <c r="G137" i="8"/>
  <c r="J137" i="8" s="1"/>
  <c r="G100" i="8"/>
  <c r="J100" i="8" s="1"/>
  <c r="G110" i="8"/>
  <c r="J110" i="8" s="1"/>
  <c r="G54" i="8"/>
  <c r="J54" i="8" s="1"/>
  <c r="G66" i="8"/>
  <c r="J66" i="8" s="1"/>
  <c r="G23" i="8"/>
  <c r="J23" i="8" s="1"/>
  <c r="G8" i="8"/>
  <c r="J8" i="8" s="1"/>
  <c r="G37" i="8"/>
  <c r="J37" i="8" s="1"/>
  <c r="G24" i="8"/>
  <c r="J24" i="8" s="1"/>
  <c r="G67" i="8"/>
  <c r="J67" i="8" s="1"/>
  <c r="G38" i="8"/>
  <c r="J38" i="8" s="1"/>
  <c r="G55" i="8"/>
  <c r="J55" i="8" s="1"/>
  <c r="I906" i="2"/>
  <c r="K906" i="2" s="1"/>
  <c r="I887" i="2"/>
  <c r="K887" i="2" s="1"/>
  <c r="G804" i="2"/>
  <c r="J804" i="2" s="1"/>
  <c r="J810" i="2" s="1"/>
  <c r="K135" i="1" s="1"/>
  <c r="G816" i="2"/>
  <c r="G837" i="2"/>
  <c r="I888" i="2"/>
  <c r="I907" i="2"/>
  <c r="H1006" i="2" l="1"/>
  <c r="J421" i="8"/>
  <c r="G433" i="8"/>
  <c r="G445" i="8" s="1"/>
  <c r="J445" i="8" s="1"/>
  <c r="J370" i="8"/>
  <c r="G382" i="8"/>
  <c r="J259" i="8"/>
  <c r="G272" i="8"/>
  <c r="J181" i="8"/>
  <c r="G192" i="8"/>
  <c r="L131" i="12"/>
  <c r="N131" i="12" s="1"/>
  <c r="G847" i="2"/>
  <c r="J837" i="2"/>
  <c r="I908" i="2"/>
  <c r="K908" i="2" s="1"/>
  <c r="K907" i="2"/>
  <c r="K888" i="2"/>
  <c r="I889" i="2"/>
  <c r="K889" i="2" s="1"/>
  <c r="J816" i="2"/>
  <c r="G826" i="2"/>
  <c r="J826" i="2" s="1"/>
  <c r="H1010" i="2" l="1"/>
  <c r="K148" i="1" s="1"/>
  <c r="G394" i="8"/>
  <c r="J394" i="8" s="1"/>
  <c r="J382" i="8"/>
  <c r="J272" i="8"/>
  <c r="G285" i="8"/>
  <c r="K911" i="2"/>
  <c r="J192" i="8"/>
  <c r="G203" i="8"/>
  <c r="J203" i="8" s="1"/>
  <c r="G857" i="2"/>
  <c r="J857" i="2" s="1"/>
  <c r="J847" i="2"/>
  <c r="J285" i="8" l="1"/>
  <c r="G299" i="8"/>
  <c r="J299" i="8" s="1"/>
  <c r="J304" i="8" s="1"/>
  <c r="K70" i="7" s="1"/>
  <c r="J159" i="8"/>
  <c r="J130" i="8"/>
  <c r="J129" i="8"/>
  <c r="J128" i="8"/>
  <c r="J14" i="8" l="1"/>
  <c r="J13" i="8"/>
  <c r="J411" i="8" l="1"/>
  <c r="J16" i="8"/>
  <c r="I130" i="2" l="1"/>
  <c r="I134" i="2" s="1"/>
  <c r="I135" i="2" l="1"/>
  <c r="I136" i="2" s="1"/>
  <c r="K52" i="1" s="1"/>
  <c r="G80" i="8"/>
  <c r="J80" i="8" s="1"/>
  <c r="L45" i="12"/>
  <c r="N45" i="12" s="1"/>
  <c r="I162" i="2"/>
  <c r="L44" i="12" l="1"/>
  <c r="N44" i="12" s="1"/>
  <c r="I137" i="2"/>
  <c r="I163" i="2"/>
  <c r="I164" i="2" s="1"/>
  <c r="I165" i="2" s="1"/>
  <c r="I176" i="2"/>
  <c r="G10" i="8" l="1"/>
  <c r="J10" i="8" s="1"/>
  <c r="J17" i="8" s="1"/>
  <c r="K34" i="7" s="1"/>
  <c r="G81" i="8"/>
  <c r="J81" i="8" s="1"/>
  <c r="L46" i="12"/>
  <c r="K54" i="1"/>
  <c r="G762" i="2"/>
  <c r="H762" i="2" s="1"/>
  <c r="I177" i="2"/>
  <c r="I178" i="2" s="1"/>
  <c r="I179" i="2" s="1"/>
  <c r="N46" i="12" l="1"/>
  <c r="G476" i="8"/>
  <c r="J476" i="8" s="1"/>
  <c r="G492" i="8"/>
  <c r="J492" i="8" s="1"/>
  <c r="G333" i="8"/>
  <c r="J333" i="8" s="1"/>
  <c r="G313" i="8"/>
  <c r="J313" i="8" s="1"/>
  <c r="G323" i="8"/>
  <c r="J323" i="8" s="1"/>
  <c r="G455" i="8"/>
  <c r="J455" i="8" s="1"/>
  <c r="G409" i="8"/>
  <c r="J409" i="8" s="1"/>
  <c r="G420" i="8"/>
  <c r="G344" i="8"/>
  <c r="G206" i="8"/>
  <c r="G223" i="8"/>
  <c r="J223" i="8" s="1"/>
  <c r="G236" i="8"/>
  <c r="G157" i="8"/>
  <c r="J157" i="8" s="1"/>
  <c r="G140" i="8"/>
  <c r="J140" i="8" s="1"/>
  <c r="G126" i="8"/>
  <c r="J126" i="8" s="1"/>
  <c r="G195" i="8"/>
  <c r="J195" i="8" s="1"/>
  <c r="G41" i="8"/>
  <c r="J41" i="8" s="1"/>
  <c r="G79" i="8"/>
  <c r="J79" i="8" s="1"/>
  <c r="G819" i="2"/>
  <c r="K55" i="1"/>
  <c r="L47" i="12"/>
  <c r="N47" i="12" l="1"/>
  <c r="J420" i="8"/>
  <c r="J426" i="8" s="1"/>
  <c r="K84" i="7" s="1"/>
  <c r="G432" i="8"/>
  <c r="J432" i="8" s="1"/>
  <c r="J438" i="8" s="1"/>
  <c r="K85" i="7" s="1"/>
  <c r="J344" i="8"/>
  <c r="G356" i="8"/>
  <c r="J236" i="8"/>
  <c r="G264" i="8"/>
  <c r="G291" i="8"/>
  <c r="J291" i="8" s="1"/>
  <c r="G250" i="8"/>
  <c r="J250" i="8" s="1"/>
  <c r="G262" i="8"/>
  <c r="G247" i="8"/>
  <c r="J247" i="8" s="1"/>
  <c r="G221" i="8"/>
  <c r="J221" i="8" s="1"/>
  <c r="G234" i="8"/>
  <c r="J234" i="8" s="1"/>
  <c r="G172" i="8"/>
  <c r="J172" i="8" s="1"/>
  <c r="G184" i="8"/>
  <c r="J184" i="8" s="1"/>
  <c r="G27" i="8"/>
  <c r="J27" i="8" s="1"/>
  <c r="G71" i="8"/>
  <c r="J71" i="8" s="1"/>
  <c r="J819" i="2"/>
  <c r="G829" i="2"/>
  <c r="I201" i="2"/>
  <c r="I205" i="2" s="1"/>
  <c r="J356" i="8" l="1"/>
  <c r="G369" i="8"/>
  <c r="J369" i="8" s="1"/>
  <c r="J262" i="8"/>
  <c r="G275" i="8"/>
  <c r="J264" i="8"/>
  <c r="G277" i="8"/>
  <c r="J277" i="8" s="1"/>
  <c r="J829" i="2"/>
  <c r="G840" i="2"/>
  <c r="I214" i="2"/>
  <c r="I218" i="2" s="1"/>
  <c r="I219" i="2" s="1"/>
  <c r="I220" i="2" s="1"/>
  <c r="I227" i="2"/>
  <c r="I231" i="2" s="1"/>
  <c r="I206" i="2"/>
  <c r="I207" i="2" s="1"/>
  <c r="L49" i="12" s="1"/>
  <c r="N49" i="12" l="1"/>
  <c r="J275" i="8"/>
  <c r="G288" i="8"/>
  <c r="J288" i="8" s="1"/>
  <c r="J840" i="2"/>
  <c r="G850" i="2"/>
  <c r="I241" i="2"/>
  <c r="I245" i="2" s="1"/>
  <c r="K57" i="1"/>
  <c r="K58" i="1"/>
  <c r="L50" i="12" s="1"/>
  <c r="I232" i="2"/>
  <c r="I233" i="2" s="1"/>
  <c r="N50" i="12" l="1"/>
  <c r="G860" i="2"/>
  <c r="J860" i="2" s="1"/>
  <c r="J850" i="2"/>
  <c r="K59" i="1"/>
  <c r="L51" i="12"/>
  <c r="I246" i="2"/>
  <c r="I247" i="2" s="1"/>
  <c r="I254" i="2"/>
  <c r="I258" i="2" s="1"/>
  <c r="I306" i="2"/>
  <c r="I310" i="2" s="1"/>
  <c r="I311" i="2" s="1"/>
  <c r="I312" i="2" s="1"/>
  <c r="N51" i="12" l="1"/>
  <c r="K60" i="1"/>
  <c r="L52" i="12"/>
  <c r="I293" i="2"/>
  <c r="I297" i="2" s="1"/>
  <c r="I259" i="2"/>
  <c r="I260" i="2" s="1"/>
  <c r="L53" i="12" s="1"/>
  <c r="N52" i="12" l="1"/>
  <c r="K61" i="1"/>
  <c r="G483" i="8" s="1"/>
  <c r="J483" i="8" s="1"/>
  <c r="I298" i="2"/>
  <c r="I299" i="2" s="1"/>
  <c r="N53" i="12" l="1"/>
  <c r="K64" i="1"/>
  <c r="L56" i="12"/>
  <c r="I320" i="2"/>
  <c r="I324" i="2" s="1"/>
  <c r="I325" i="2" s="1"/>
  <c r="N56" i="12" l="1"/>
  <c r="K65" i="1"/>
  <c r="L57" i="12"/>
  <c r="I326" i="2"/>
  <c r="I333" i="2"/>
  <c r="I337" i="2" s="1"/>
  <c r="N57" i="12" l="1"/>
  <c r="K66" i="1"/>
  <c r="L58" i="12" s="1"/>
  <c r="I338" i="2"/>
  <c r="I339" i="2" s="1"/>
  <c r="I346" i="2"/>
  <c r="I350" i="2" s="1"/>
  <c r="J206" i="8" l="1"/>
  <c r="K67" i="1"/>
  <c r="L59" i="12" s="1"/>
  <c r="I351" i="2"/>
  <c r="N59" i="12" l="1"/>
  <c r="N58" i="12"/>
  <c r="I352" i="2"/>
  <c r="K68" i="1" s="1"/>
  <c r="L60" i="12" l="1"/>
  <c r="G380" i="8"/>
  <c r="G367" i="8"/>
  <c r="J367" i="8" s="1"/>
  <c r="J374" i="8" s="1"/>
  <c r="K78" i="7" s="1"/>
  <c r="N60" i="12" l="1"/>
  <c r="J380" i="8"/>
  <c r="J385" i="8" s="1"/>
  <c r="K79" i="7" s="1"/>
  <c r="G393" i="8"/>
  <c r="J393" i="8" s="1"/>
  <c r="G391" i="8"/>
  <c r="J391" i="8" s="1"/>
  <c r="I373" i="2"/>
  <c r="I377" i="2" s="1"/>
  <c r="I378" i="2" s="1"/>
  <c r="I379" i="2" s="1"/>
  <c r="K76" i="1" l="1"/>
  <c r="G84" i="8" s="1"/>
  <c r="J84" i="8" s="1"/>
  <c r="L70" i="12"/>
  <c r="N70" i="12" s="1"/>
  <c r="I386" i="2"/>
  <c r="I390" i="2" s="1"/>
  <c r="I883" i="2" l="1"/>
  <c r="K883" i="2" s="1"/>
  <c r="K892" i="2" s="1"/>
  <c r="I391" i="2"/>
  <c r="I392" i="2" s="1"/>
  <c r="K77" i="1" l="1"/>
  <c r="L71" i="12"/>
  <c r="N71" i="12" l="1"/>
  <c r="G222" i="8"/>
  <c r="J222" i="8" s="1"/>
  <c r="G235" i="8"/>
  <c r="J235" i="8" s="1"/>
  <c r="G248" i="8"/>
  <c r="I405" i="2"/>
  <c r="I406" i="2" s="1"/>
  <c r="K78" i="1" s="1"/>
  <c r="H413" i="2"/>
  <c r="I413" i="2" s="1"/>
  <c r="I417" i="2" s="1"/>
  <c r="J248" i="8" l="1"/>
  <c r="G289" i="8"/>
  <c r="J289" i="8" s="1"/>
  <c r="G263" i="8"/>
  <c r="L72" i="12"/>
  <c r="I418" i="2"/>
  <c r="G760" i="2"/>
  <c r="H760" i="2" s="1"/>
  <c r="H764" i="2" s="1"/>
  <c r="N72" i="12" l="1"/>
  <c r="G276" i="8"/>
  <c r="J276" i="8" s="1"/>
  <c r="J263" i="8"/>
  <c r="K126" i="1"/>
  <c r="L121" i="12" s="1"/>
  <c r="K37" i="7"/>
  <c r="I419" i="2"/>
  <c r="L73" i="12" s="1"/>
  <c r="N73" i="12" l="1"/>
  <c r="N86" i="12" s="1"/>
  <c r="J360" i="8"/>
  <c r="K79" i="1"/>
  <c r="G85" i="8" s="1"/>
  <c r="J85" i="8" s="1"/>
  <c r="J86" i="8" s="1"/>
  <c r="K42" i="7" s="1"/>
  <c r="N121" i="12" l="1"/>
  <c r="N128" i="12" s="1"/>
  <c r="I186" i="2"/>
  <c r="I190" i="2" s="1"/>
  <c r="F20" i="10" l="1"/>
  <c r="H20" i="10" s="1"/>
  <c r="I20" i="10" s="1"/>
  <c r="F17" i="10"/>
  <c r="H17" i="10" s="1"/>
  <c r="I17" i="10" s="1"/>
  <c r="G484" i="8"/>
  <c r="J484" i="8" s="1"/>
  <c r="J485" i="8" s="1"/>
  <c r="K90" i="7" s="1"/>
  <c r="G93" i="8"/>
  <c r="J93" i="8" s="1"/>
  <c r="J94" i="8" s="1"/>
  <c r="K46" i="7" s="1"/>
  <c r="G111" i="8"/>
  <c r="J111" i="8" s="1"/>
  <c r="J114" i="8" s="1"/>
  <c r="K48" i="7" s="1"/>
  <c r="G858" i="2"/>
  <c r="J858" i="2" s="1"/>
  <c r="J861" i="2" s="1"/>
  <c r="K140" i="1" s="1"/>
  <c r="L136" i="12" s="1"/>
  <c r="N136" i="12" s="1"/>
  <c r="L22" i="12"/>
  <c r="N22" i="12" s="1"/>
  <c r="G56" i="8"/>
  <c r="J56" i="8" s="1"/>
  <c r="J60" i="8" s="1"/>
  <c r="K40" i="7" s="1"/>
  <c r="G182" i="8"/>
  <c r="J182" i="8" s="1"/>
  <c r="J186" i="8" s="1"/>
  <c r="K59" i="7" s="1"/>
  <c r="G321" i="8"/>
  <c r="J321" i="8" s="1"/>
  <c r="J324" i="8" s="1"/>
  <c r="K72" i="7" s="1"/>
  <c r="G444" i="8"/>
  <c r="J444" i="8" s="1"/>
  <c r="J449" i="8" s="1"/>
  <c r="K86" i="7" s="1"/>
  <c r="G124" i="8"/>
  <c r="G155" i="8" s="1"/>
  <c r="G25" i="8"/>
  <c r="J25" i="8" s="1"/>
  <c r="J31" i="8" s="1"/>
  <c r="K35" i="7" s="1"/>
  <c r="G260" i="8"/>
  <c r="J260" i="8" s="1"/>
  <c r="J266" i="8" s="1"/>
  <c r="K67" i="7" s="1"/>
  <c r="G410" i="8"/>
  <c r="J410" i="8" s="1"/>
  <c r="J414" i="8" s="1"/>
  <c r="K83" i="7" s="1"/>
  <c r="G311" i="8"/>
  <c r="J311" i="8" s="1"/>
  <c r="J314" i="8" s="1"/>
  <c r="K71" i="7" s="1"/>
  <c r="G232" i="8"/>
  <c r="J232" i="8" s="1"/>
  <c r="J238" i="8" s="1"/>
  <c r="K65" i="7" s="1"/>
  <c r="G817" i="2"/>
  <c r="J817" i="2" s="1"/>
  <c r="J820" i="2" s="1"/>
  <c r="G39" i="8"/>
  <c r="J39" i="8" s="1"/>
  <c r="J45" i="8" s="1"/>
  <c r="K36" i="7" s="1"/>
  <c r="G101" i="8"/>
  <c r="J101" i="8" s="1"/>
  <c r="J104" i="8" s="1"/>
  <c r="K47" i="7" s="1"/>
  <c r="G138" i="8"/>
  <c r="J138" i="8" s="1"/>
  <c r="J145" i="8" s="1"/>
  <c r="K52" i="7" s="1"/>
  <c r="G245" i="8"/>
  <c r="J245" i="8" s="1"/>
  <c r="J252" i="8" s="1"/>
  <c r="K66" i="7" s="1"/>
  <c r="G456" i="8"/>
  <c r="J456" i="8" s="1"/>
  <c r="J461" i="8" s="1"/>
  <c r="K87" i="7" s="1"/>
  <c r="G491" i="8"/>
  <c r="J491" i="8" s="1"/>
  <c r="J493" i="8" s="1"/>
  <c r="K91" i="7" s="1"/>
  <c r="G848" i="2"/>
  <c r="J848" i="2" s="1"/>
  <c r="J851" i="2" s="1"/>
  <c r="K139" i="1" s="1"/>
  <c r="G68" i="8"/>
  <c r="J68" i="8" s="1"/>
  <c r="J73" i="8" s="1"/>
  <c r="K41" i="7" s="1"/>
  <c r="G170" i="8"/>
  <c r="J170" i="8" s="1"/>
  <c r="G219" i="8"/>
  <c r="J219" i="8" s="1"/>
  <c r="G395" i="8"/>
  <c r="J395" i="8" s="1"/>
  <c r="J400" i="8" s="1"/>
  <c r="K80" i="7" s="1"/>
  <c r="G331" i="8"/>
  <c r="J331" i="8" s="1"/>
  <c r="J334" i="8" s="1"/>
  <c r="K73" i="7" s="1"/>
  <c r="G468" i="8"/>
  <c r="J468" i="8" s="1"/>
  <c r="J469" i="8" s="1"/>
  <c r="K88" i="7" s="1"/>
  <c r="G475" i="8"/>
  <c r="J475" i="8" s="1"/>
  <c r="J477" i="8" s="1"/>
  <c r="K89" i="7" s="1"/>
  <c r="I191" i="2"/>
  <c r="I192" i="2" s="1"/>
  <c r="K56" i="1" s="1"/>
  <c r="L48" i="12" s="1"/>
  <c r="N26" i="12" l="1"/>
  <c r="G827" i="2"/>
  <c r="N48" i="12"/>
  <c r="N67" i="12" s="1"/>
  <c r="I23" i="10"/>
  <c r="M23" i="10" s="1"/>
  <c r="M26" i="10" s="1"/>
  <c r="J124" i="8"/>
  <c r="J131" i="8" s="1"/>
  <c r="K51" i="7" s="1"/>
  <c r="G193" i="8"/>
  <c r="J193" i="8" s="1"/>
  <c r="J197" i="8" s="1"/>
  <c r="K60" i="7" s="1"/>
  <c r="G273" i="8"/>
  <c r="G286" i="8" s="1"/>
  <c r="J286" i="8" s="1"/>
  <c r="L135" i="12"/>
  <c r="N135" i="12" s="1"/>
  <c r="I193" i="2"/>
  <c r="J827" i="2"/>
  <c r="G838" i="2"/>
  <c r="J838" i="2" s="1"/>
  <c r="J841" i="2" s="1"/>
  <c r="L132" i="12"/>
  <c r="N132" i="12" s="1"/>
  <c r="K136" i="1"/>
  <c r="J155" i="8"/>
  <c r="G204" i="8" l="1"/>
  <c r="J204" i="8" s="1"/>
  <c r="J209" i="8" s="1"/>
  <c r="K61" i="7" s="1"/>
  <c r="J273" i="8"/>
  <c r="J279" i="8" s="1"/>
  <c r="K68" i="7" s="1"/>
  <c r="J293" i="8"/>
  <c r="K69" i="7" s="1"/>
  <c r="J160" i="8"/>
  <c r="K55" i="7" s="1"/>
  <c r="K138" i="1"/>
  <c r="L134" i="12"/>
  <c r="N134" i="12" s="1"/>
  <c r="J830" i="2"/>
  <c r="J831" i="2" s="1"/>
  <c r="J169" i="8"/>
  <c r="J175" i="8" s="1"/>
  <c r="K58" i="7" s="1"/>
  <c r="K137" i="1" l="1"/>
  <c r="L133" i="12"/>
  <c r="N133" i="12" s="1"/>
  <c r="N138" i="12" s="1"/>
  <c r="N145" i="12" s="1"/>
  <c r="J218" i="8"/>
  <c r="J225" i="8" s="1"/>
  <c r="K64" i="7" s="1"/>
  <c r="E14" i="14" l="1"/>
  <c r="C14" i="14" s="1"/>
  <c r="D14" i="14" s="1"/>
  <c r="E16" i="15"/>
  <c r="C16" i="15" s="1"/>
  <c r="D16" i="15" s="1"/>
  <c r="E21" i="14"/>
  <c r="E16" i="14"/>
  <c r="C16" i="14" s="1"/>
  <c r="D16" i="14" s="1"/>
  <c r="E21" i="15"/>
  <c r="C21" i="15" s="1"/>
  <c r="D21" i="15" s="1"/>
  <c r="E14" i="15"/>
  <c r="N146" i="12"/>
  <c r="J343" i="8"/>
  <c r="J349" i="8" s="1"/>
  <c r="K76" i="7" s="1"/>
  <c r="G355" i="8"/>
  <c r="J355" i="8" s="1"/>
  <c r="J361" i="8" s="1"/>
  <c r="K77" i="7" s="1"/>
  <c r="C21" i="14" l="1"/>
  <c r="D21" i="14" s="1"/>
  <c r="C18" i="15"/>
  <c r="D14" i="15"/>
  <c r="D18" i="15" s="1"/>
  <c r="D23" i="15" s="1"/>
  <c r="C18" i="14"/>
  <c r="D18" i="14" l="1"/>
  <c r="D23" i="14" s="1"/>
</calcChain>
</file>

<file path=xl/sharedStrings.xml><?xml version="1.0" encoding="utf-8"?>
<sst xmlns="http://schemas.openxmlformats.org/spreadsheetml/2006/main" count="3059" uniqueCount="668">
  <si>
    <t>Datum:</t>
  </si>
  <si>
    <t>številka:</t>
  </si>
  <si>
    <t>Opis področja</t>
  </si>
  <si>
    <t>VOZILA</t>
  </si>
  <si>
    <t>1.0</t>
  </si>
  <si>
    <t>2.0</t>
  </si>
  <si>
    <t>3.0</t>
  </si>
  <si>
    <t>DELOVNI STROJI</t>
  </si>
  <si>
    <t>STROJNO ORODJE</t>
  </si>
  <si>
    <t>4.0</t>
  </si>
  <si>
    <t>em</t>
  </si>
  <si>
    <t>cena /eur</t>
  </si>
  <si>
    <t>Osebno vozilo</t>
  </si>
  <si>
    <t>Tovorno vozilo do 3,5 t sdm</t>
  </si>
  <si>
    <t>ura</t>
  </si>
  <si>
    <t>Pregledniško vozilo s preglednikom</t>
  </si>
  <si>
    <t>Unimog (razreda 1200, 1400, 1600)</t>
  </si>
  <si>
    <t>Unimog (razreda U300, U500)</t>
  </si>
  <si>
    <t>Traktor 91 - 120 ks</t>
  </si>
  <si>
    <t>1.1</t>
  </si>
  <si>
    <t>1.2</t>
  </si>
  <si>
    <t>1.3</t>
  </si>
  <si>
    <t>Traktorska prikolica</t>
  </si>
  <si>
    <t>Čelno in bočno puhalo (rezkar)</t>
  </si>
  <si>
    <t>Tovorna prikolica do 750 kg sdm</t>
  </si>
  <si>
    <t>Tovorna prikolica do 3,5 t sdm</t>
  </si>
  <si>
    <t>Tovorno vozilo s samonakladalno nadgradnjo</t>
  </si>
  <si>
    <t>3.1</t>
  </si>
  <si>
    <t>3.2</t>
  </si>
  <si>
    <t>3.3</t>
  </si>
  <si>
    <t>3.4</t>
  </si>
  <si>
    <t>3.5</t>
  </si>
  <si>
    <t>3.6</t>
  </si>
  <si>
    <t>3.7</t>
  </si>
  <si>
    <t xml:space="preserve">Nakladalec z žlico do 1 m3 </t>
  </si>
  <si>
    <t>3.8</t>
  </si>
  <si>
    <t>3.9</t>
  </si>
  <si>
    <t>OZNAKA POSTAVKE</t>
  </si>
  <si>
    <t>OPIS</t>
  </si>
  <si>
    <t>NABAVNA VREDNOST (EUR)</t>
  </si>
  <si>
    <t>KOLIČINA (l/h)</t>
  </si>
  <si>
    <t>CENA</t>
  </si>
  <si>
    <t>SKUPAJ:</t>
  </si>
  <si>
    <t>Vibracijski valjar 1,5 t</t>
  </si>
  <si>
    <t>Stroj za pometanje cest</t>
  </si>
  <si>
    <t>3.10</t>
  </si>
  <si>
    <t>3.11</t>
  </si>
  <si>
    <t>3.12</t>
  </si>
  <si>
    <t>3.13</t>
  </si>
  <si>
    <t>Viličar 3 t</t>
  </si>
  <si>
    <t>3.14</t>
  </si>
  <si>
    <t>STROJNO ORODJE (cena brez operaterja)</t>
  </si>
  <si>
    <t>4.1</t>
  </si>
  <si>
    <t>Kosilnica BCS</t>
  </si>
  <si>
    <t>4.2</t>
  </si>
  <si>
    <t>4.3</t>
  </si>
  <si>
    <t>4.4</t>
  </si>
  <si>
    <t>Ročna motorna kosa</t>
  </si>
  <si>
    <t>4.5</t>
  </si>
  <si>
    <t>Ročne motorne škarje</t>
  </si>
  <si>
    <t>Motorna žaga</t>
  </si>
  <si>
    <t>Vibracijska plošča</t>
  </si>
  <si>
    <t>Električno udarno kladivo</t>
  </si>
  <si>
    <t>Vibracijski vrtalnik</t>
  </si>
  <si>
    <t>Vibracisjki nabijalec</t>
  </si>
  <si>
    <t>Postavka:</t>
  </si>
  <si>
    <t>Mešalec za beton</t>
  </si>
  <si>
    <t>Krožna žaga namizna</t>
  </si>
  <si>
    <t>Varilni aparat</t>
  </si>
  <si>
    <t>Ročna kosilnica mulčar</t>
  </si>
  <si>
    <t>4.10</t>
  </si>
  <si>
    <t>Pihalnik listja</t>
  </si>
  <si>
    <t>Višinski obrezovalnik vej</t>
  </si>
  <si>
    <t>Tovorno vozilo kanaljet</t>
  </si>
  <si>
    <t>Stroj za rezanje asfalta</t>
  </si>
  <si>
    <t>m1</t>
  </si>
  <si>
    <t>DELO</t>
  </si>
  <si>
    <t>5.0</t>
  </si>
  <si>
    <t>5.1</t>
  </si>
  <si>
    <t>5.2</t>
  </si>
  <si>
    <t>5.3</t>
  </si>
  <si>
    <t>5.4</t>
  </si>
  <si>
    <t>5.5</t>
  </si>
  <si>
    <t>5.6</t>
  </si>
  <si>
    <t>5.7</t>
  </si>
  <si>
    <t>5.8</t>
  </si>
  <si>
    <t>Delavec (vzdrževalec, operater orodij, voznik, strojnik)</t>
  </si>
  <si>
    <t>DODATKI NA DELO</t>
  </si>
  <si>
    <t>3.17</t>
  </si>
  <si>
    <t>3.18</t>
  </si>
  <si>
    <t>4.12</t>
  </si>
  <si>
    <t>4.14</t>
  </si>
  <si>
    <t>6.0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</si>
  <si>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</si>
  <si>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</si>
  <si>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</si>
  <si>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</si>
  <si>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</si>
  <si>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</si>
  <si>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</si>
  <si>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</si>
  <si>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</si>
  <si>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</si>
  <si>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</si>
  <si>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</si>
  <si>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</si>
  <si>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</si>
  <si>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</si>
  <si>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</si>
  <si>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</si>
  <si>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</si>
  <si>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</si>
  <si>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</si>
  <si>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višina dodatka</t>
  </si>
  <si>
    <t>35 %</t>
  </si>
  <si>
    <t>50 %</t>
  </si>
  <si>
    <t>2.1</t>
  </si>
  <si>
    <t>2.2</t>
  </si>
  <si>
    <t>2.3</t>
  </si>
  <si>
    <t>2.4</t>
  </si>
  <si>
    <t>2.5</t>
  </si>
  <si>
    <t>20 %</t>
  </si>
  <si>
    <t>15 %</t>
  </si>
  <si>
    <t>PREDDELA</t>
  </si>
  <si>
    <t>kpl</t>
  </si>
  <si>
    <t>1.4</t>
  </si>
  <si>
    <t>ZEMELJSKA DELA</t>
  </si>
  <si>
    <t>kos</t>
  </si>
  <si>
    <t>ZEMLJSKA DELA</t>
  </si>
  <si>
    <t>m3</t>
  </si>
  <si>
    <t>m2</t>
  </si>
  <si>
    <t>m</t>
  </si>
  <si>
    <t>TESARSKA DELA</t>
  </si>
  <si>
    <t>ŽELEZOKRIVSKA DELA</t>
  </si>
  <si>
    <t>kg</t>
  </si>
  <si>
    <t>ZIDARSKA DELA</t>
  </si>
  <si>
    <t>ASFALTERSKA DELA</t>
  </si>
  <si>
    <t>7.0</t>
  </si>
  <si>
    <t>UREJANJE ZELENIH POVRŠIN</t>
  </si>
  <si>
    <t>7.1</t>
  </si>
  <si>
    <t>7.2</t>
  </si>
  <si>
    <t>7.3</t>
  </si>
  <si>
    <t>7.4</t>
  </si>
  <si>
    <t>Mazanje z emulzijo za asfalt od 31-100 m2</t>
  </si>
  <si>
    <t>7.5</t>
  </si>
  <si>
    <t>7.6</t>
  </si>
  <si>
    <t>7.7</t>
  </si>
  <si>
    <t>8.0</t>
  </si>
  <si>
    <t>Priprava izrisa cestne zapore po dovoljenju.</t>
  </si>
  <si>
    <t>Postavitev cestne zapore po dovoljenju.</t>
  </si>
  <si>
    <t>Postavitev interventne cestne zapore.</t>
  </si>
  <si>
    <t>VGRADNJA KANALIZACIJ</t>
  </si>
  <si>
    <t>DELA CESTNEGA GOSPODARSTVA</t>
  </si>
  <si>
    <t>Zamenjava droga cestno prometnega znaka</t>
  </si>
  <si>
    <t xml:space="preserve">Zamenjava cestenga smernika </t>
  </si>
  <si>
    <t>8.1</t>
  </si>
  <si>
    <t>8.2</t>
  </si>
  <si>
    <t>8.3</t>
  </si>
  <si>
    <t>8.4</t>
  </si>
  <si>
    <t>8.5</t>
  </si>
  <si>
    <t>9.0</t>
  </si>
  <si>
    <t>9.1</t>
  </si>
  <si>
    <t>9.2</t>
  </si>
  <si>
    <t>9.3</t>
  </si>
  <si>
    <r>
      <rPr>
        <b/>
        <sz val="8"/>
        <color theme="1"/>
        <rFont val="Calibri"/>
        <family val="2"/>
        <charset val="238"/>
        <scheme val="minor"/>
      </rPr>
      <t>STROŠKI IZ NASLOVA OBVEZNOSTI DELOVNEGA RAZMERJA (</t>
    </r>
    <r>
      <rPr>
        <sz val="8"/>
        <color theme="1"/>
        <rFont val="Calibri"/>
        <family val="2"/>
        <charset val="238"/>
        <scheme val="minor"/>
      </rPr>
      <t xml:space="preserve">zdr. pregled, izobraž., varstvo pri delu, zaščitna del. sredstva, ceplenje) </t>
    </r>
  </si>
  <si>
    <t>CENA BRUTO (URA)</t>
  </si>
  <si>
    <t>Pripravljenost na domu</t>
  </si>
  <si>
    <r>
      <t>STROŠEK SKUPAJ</t>
    </r>
    <r>
      <rPr>
        <sz val="8"/>
        <color theme="1"/>
        <rFont val="Calibri"/>
        <family val="2"/>
        <charset val="238"/>
        <scheme val="minor"/>
      </rPr>
      <t xml:space="preserve"> (mesečno):</t>
    </r>
  </si>
  <si>
    <t>ZIMSKA SLUŽBA</t>
  </si>
  <si>
    <t>UREJANJA ZELENIH POVRŠIN</t>
  </si>
  <si>
    <t>OSTALE STORITVE</t>
  </si>
  <si>
    <t>Hramba odsluženega / zapuščenega vozila</t>
  </si>
  <si>
    <t>Priprava stroja na zimo.</t>
  </si>
  <si>
    <t>Najem prostora za dislocirano skladišče.</t>
  </si>
  <si>
    <r>
      <rPr>
        <b/>
        <sz val="8"/>
        <color theme="1"/>
        <rFont val="Calibri"/>
        <family val="2"/>
        <charset val="238"/>
        <scheme val="minor"/>
      </rPr>
      <t>STROŠEK AMORTIZACIJE</t>
    </r>
    <r>
      <rPr>
        <sz val="8"/>
        <color theme="1"/>
        <rFont val="Calibri"/>
        <family val="2"/>
        <charset val="238"/>
        <scheme val="minor"/>
      </rPr>
      <t xml:space="preserve"> (mesečno)</t>
    </r>
  </si>
  <si>
    <t>PRIKLJUČKI ZA TOVORNA VOZILA IN TRAKTORJE</t>
  </si>
  <si>
    <r>
      <rPr>
        <b/>
        <sz val="8"/>
        <color theme="1"/>
        <rFont val="Calibri"/>
        <family val="2"/>
        <charset val="238"/>
        <scheme val="minor"/>
      </rPr>
      <t>OBRATOVALNII STROŠKI</t>
    </r>
    <r>
      <rPr>
        <sz val="8"/>
        <color theme="1"/>
        <rFont val="Calibri"/>
        <family val="2"/>
        <charset val="238"/>
        <scheme val="minor"/>
      </rPr>
      <t xml:space="preserve"> (registracija, zavarovanje, servis, vzdrževanje) (mesečno)</t>
    </r>
  </si>
  <si>
    <t>IZDELAVNE URE (em)</t>
  </si>
  <si>
    <r>
      <rPr>
        <b/>
        <sz val="8"/>
        <color theme="1"/>
        <rFont val="Calibri"/>
        <family val="2"/>
        <charset val="238"/>
        <scheme val="minor"/>
      </rPr>
      <t>STROŠEK DELA NORMATIVNO</t>
    </r>
    <r>
      <rPr>
        <sz val="8"/>
        <color theme="1"/>
        <rFont val="Calibri"/>
        <family val="2"/>
        <charset val="238"/>
        <scheme val="minor"/>
      </rPr>
      <t xml:space="preserve"> (ura)  </t>
    </r>
  </si>
  <si>
    <r>
      <rPr>
        <b/>
        <sz val="8"/>
        <color theme="1"/>
        <rFont val="Calibri"/>
        <family val="2"/>
        <charset val="238"/>
        <scheme val="minor"/>
      </rPr>
      <t>TRANSPORTNI STROŠKI</t>
    </r>
    <r>
      <rPr>
        <sz val="8"/>
        <color theme="1"/>
        <rFont val="Calibri"/>
        <family val="2"/>
        <charset val="238"/>
        <scheme val="minor"/>
      </rPr>
      <t xml:space="preserve"> (ura)</t>
    </r>
  </si>
  <si>
    <r>
      <rPr>
        <b/>
        <sz val="8"/>
        <color theme="1"/>
        <rFont val="Calibri"/>
        <family val="2"/>
        <charset val="238"/>
        <scheme val="minor"/>
      </rPr>
      <t>MATERIALNI STROŠK</t>
    </r>
    <r>
      <rPr>
        <sz val="8"/>
        <color theme="1"/>
        <rFont val="Calibri"/>
        <family val="2"/>
        <charset val="238"/>
        <scheme val="minor"/>
      </rPr>
      <t xml:space="preserve">I </t>
    </r>
  </si>
  <si>
    <t xml:space="preserve">ZEMLJSKA DELA </t>
  </si>
  <si>
    <t xml:space="preserve">Strokovna dela </t>
  </si>
  <si>
    <t>CENA MATERIALA</t>
  </si>
  <si>
    <t>DONOS NA ENOTO (5 %)</t>
  </si>
  <si>
    <t>Delavec</t>
  </si>
  <si>
    <t>ŽELEZOKRIVKA DELA</t>
  </si>
  <si>
    <t>ASFLATERSKA DELA</t>
  </si>
  <si>
    <t>9.4</t>
  </si>
  <si>
    <t>9.5</t>
  </si>
  <si>
    <t>9.6</t>
  </si>
  <si>
    <t>KANALIZACIJA</t>
  </si>
  <si>
    <r>
      <rPr>
        <b/>
        <sz val="8"/>
        <color theme="1"/>
        <rFont val="Calibri"/>
        <family val="2"/>
        <charset val="238"/>
        <scheme val="minor"/>
      </rPr>
      <t>STROJNA DELA NORMATIVNO</t>
    </r>
    <r>
      <rPr>
        <sz val="8"/>
        <color theme="1"/>
        <rFont val="Calibri"/>
        <family val="2"/>
        <charset val="238"/>
        <scheme val="minor"/>
      </rPr>
      <t xml:space="preserve"> (ura)</t>
    </r>
  </si>
  <si>
    <t>Drobni material (žičniki, kravate, distančniki)</t>
  </si>
  <si>
    <t>Žarjena žica</t>
  </si>
  <si>
    <t>4. Cene ne vsebujejo ddv.</t>
  </si>
  <si>
    <r>
      <rPr>
        <b/>
        <sz val="8"/>
        <color theme="1"/>
        <rFont val="Calibri"/>
        <family val="2"/>
        <charset val="238"/>
        <scheme val="minor"/>
      </rPr>
      <t>STROŠKI STROJNEGA ORODJA</t>
    </r>
    <r>
      <rPr>
        <sz val="8"/>
        <color theme="1"/>
        <rFont val="Calibri"/>
        <family val="2"/>
        <charset val="238"/>
        <scheme val="minor"/>
      </rPr>
      <t xml:space="preserve"> (ura)</t>
    </r>
  </si>
  <si>
    <t>KOLIČINA MATERIALA</t>
  </si>
  <si>
    <r>
      <t>KOLIČINA MATERIALA</t>
    </r>
    <r>
      <rPr>
        <sz val="8"/>
        <color theme="1"/>
        <rFont val="Calibri"/>
        <family val="2"/>
        <charset val="238"/>
        <scheme val="minor"/>
      </rPr>
      <t xml:space="preserve"> </t>
    </r>
  </si>
  <si>
    <t>CENA (EM: kg)</t>
  </si>
  <si>
    <t>CENA (EM: m3)</t>
  </si>
  <si>
    <t>Deske in potoršni lesni material (obraba/m3)</t>
  </si>
  <si>
    <t>Opažni elementi in morali (obraba/m2)</t>
  </si>
  <si>
    <t>CENA (EM: m )</t>
  </si>
  <si>
    <t>CENA (EM: m2)</t>
  </si>
  <si>
    <t xml:space="preserve">KOLIČINA MATERIALA </t>
  </si>
  <si>
    <t>CENA(EM: kos)</t>
  </si>
  <si>
    <r>
      <rPr>
        <b/>
        <sz val="8"/>
        <color theme="1"/>
        <rFont val="Calibri"/>
        <family val="2"/>
        <charset val="238"/>
        <scheme val="minor"/>
      </rPr>
      <t>STROŠEK DELOVNIH STROJEV</t>
    </r>
    <r>
      <rPr>
        <sz val="8"/>
        <color theme="1"/>
        <rFont val="Calibri"/>
        <family val="2"/>
        <charset val="238"/>
        <scheme val="minor"/>
      </rPr>
      <t xml:space="preserve"> (ura)</t>
    </r>
  </si>
  <si>
    <r>
      <rPr>
        <b/>
        <sz val="8"/>
        <color theme="1"/>
        <rFont val="Calibri"/>
        <family val="2"/>
        <charset val="238"/>
        <scheme val="minor"/>
      </rPr>
      <t>STROŠEK DELOVNE OPREME</t>
    </r>
    <r>
      <rPr>
        <sz val="8"/>
        <color theme="1"/>
        <rFont val="Calibri"/>
        <family val="2"/>
        <charset val="238"/>
        <scheme val="minor"/>
      </rPr>
      <t xml:space="preserve"> (ura)</t>
    </r>
  </si>
  <si>
    <t>Programska oprema</t>
  </si>
  <si>
    <t>CENA (EM: kos)</t>
  </si>
  <si>
    <t>Sprej</t>
  </si>
  <si>
    <t>Količek</t>
  </si>
  <si>
    <t>Gis informacisjki sistem</t>
  </si>
  <si>
    <t>STROŠEK PODJETJA V BREME (URA)</t>
  </si>
  <si>
    <t>STROŠKI STROKOVNIH SLUŽB</t>
  </si>
  <si>
    <t xml:space="preserve">STROŠEK DELA:  </t>
  </si>
  <si>
    <t>ODSTOTEK</t>
  </si>
  <si>
    <r>
      <rPr>
        <b/>
        <sz val="8"/>
        <color theme="1"/>
        <rFont val="Calibri"/>
        <family val="2"/>
        <charset val="238"/>
        <scheme val="minor"/>
      </rPr>
      <t>STROŠEK DELA</t>
    </r>
    <r>
      <rPr>
        <sz val="8"/>
        <color theme="1"/>
        <rFont val="Calibri"/>
        <family val="2"/>
        <charset val="238"/>
        <scheme val="minor"/>
      </rPr>
      <t xml:space="preserve"> (mesečno) </t>
    </r>
  </si>
  <si>
    <t xml:space="preserve">CENA PRIPRAVLJENOST NA DOMU </t>
  </si>
  <si>
    <t xml:space="preserve">CENA DELA (URA) </t>
  </si>
  <si>
    <r>
      <rPr>
        <b/>
        <sz val="8"/>
        <color theme="1"/>
        <rFont val="Calibri"/>
        <family val="2"/>
        <charset val="238"/>
        <scheme val="minor"/>
      </rPr>
      <t>DONOS OSNOVNEGA SREDSTVA</t>
    </r>
    <r>
      <rPr>
        <sz val="8"/>
        <color theme="1"/>
        <rFont val="Calibri"/>
        <family val="2"/>
        <charset val="238"/>
        <scheme val="minor"/>
      </rPr>
      <t xml:space="preserve"> (5% na uro):</t>
    </r>
  </si>
  <si>
    <t>DELOVNE URE (mesec)</t>
  </si>
  <si>
    <t>AMORTIZACIJSKA DOBA (mesec)</t>
  </si>
  <si>
    <r>
      <rPr>
        <b/>
        <sz val="8"/>
        <color theme="1"/>
        <rFont val="Calibri"/>
        <family val="2"/>
        <charset val="238"/>
        <scheme val="minor"/>
      </rPr>
      <t>STROŠEK GORIVA (poraba 35 l/100 km)</t>
    </r>
    <r>
      <rPr>
        <sz val="8"/>
        <color theme="1"/>
        <rFont val="Calibri"/>
        <family val="2"/>
        <charset val="238"/>
        <scheme val="minor"/>
      </rPr>
      <t xml:space="preserve"> (mesečno)</t>
    </r>
  </si>
  <si>
    <r>
      <rPr>
        <b/>
        <sz val="8"/>
        <color theme="1"/>
        <rFont val="Calibri"/>
        <family val="2"/>
        <charset val="238"/>
        <scheme val="minor"/>
      </rPr>
      <t>OBRATOVALNII STROŠKI</t>
    </r>
    <r>
      <rPr>
        <sz val="8"/>
        <color theme="1"/>
        <rFont val="Calibri"/>
        <family val="2"/>
        <charset val="238"/>
        <scheme val="minor"/>
      </rPr>
      <t xml:space="preserve"> (registracija, zavarovanje, servis,  vzdrževanje) (mesečno)</t>
    </r>
  </si>
  <si>
    <r>
      <rPr>
        <b/>
        <sz val="8"/>
        <color theme="1"/>
        <rFont val="Calibri"/>
        <family val="2"/>
        <charset val="238"/>
        <scheme val="minor"/>
      </rPr>
      <t>OBRATOVALNII STROŠKI</t>
    </r>
    <r>
      <rPr>
        <sz val="8"/>
        <color theme="1"/>
        <rFont val="Calibri"/>
        <family val="2"/>
        <charset val="238"/>
        <scheme val="minor"/>
      </rPr>
      <t xml:space="preserve"> (zavarovanje, servis,  vzdrževanje) (mesečno)</t>
    </r>
  </si>
  <si>
    <t>,</t>
  </si>
  <si>
    <r>
      <rPr>
        <b/>
        <sz val="8"/>
        <color theme="1"/>
        <rFont val="Calibri"/>
        <family val="2"/>
        <charset val="238"/>
        <scheme val="minor"/>
      </rPr>
      <t>OBRATOVALNII STROŠKI</t>
    </r>
    <r>
      <rPr>
        <sz val="8"/>
        <color theme="1"/>
        <rFont val="Calibri"/>
        <family val="2"/>
        <charset val="238"/>
        <scheme val="minor"/>
      </rPr>
      <t xml:space="preserve"> (zavarovanje, servis, vzdrževanje) (mesečno)</t>
    </r>
  </si>
  <si>
    <r>
      <rPr>
        <b/>
        <sz val="8"/>
        <color theme="1"/>
        <rFont val="Calibri"/>
        <family val="2"/>
        <charset val="238"/>
        <scheme val="minor"/>
      </rPr>
      <t xml:space="preserve">DELOVNE URE </t>
    </r>
    <r>
      <rPr>
        <sz val="8"/>
        <color theme="1"/>
        <rFont val="Calibri"/>
        <family val="2"/>
        <charset val="238"/>
        <scheme val="minor"/>
      </rPr>
      <t xml:space="preserve"> (mesečno):</t>
    </r>
  </si>
  <si>
    <r>
      <rPr>
        <b/>
        <sz val="8"/>
        <color theme="1"/>
        <rFont val="Calibri"/>
        <family val="2"/>
        <charset val="238"/>
        <scheme val="minor"/>
      </rPr>
      <t>DONOS OSNOVNEGA SREDSTVA</t>
    </r>
    <r>
      <rPr>
        <sz val="8"/>
        <color theme="1"/>
        <rFont val="Calibri"/>
        <family val="2"/>
        <charset val="238"/>
        <scheme val="minor"/>
      </rPr>
      <t xml:space="preserve"> (5% NA URO)</t>
    </r>
  </si>
  <si>
    <r>
      <rPr>
        <b/>
        <sz val="8"/>
        <color theme="1"/>
        <rFont val="Calibri"/>
        <family val="2"/>
        <charset val="238"/>
        <scheme val="minor"/>
      </rPr>
      <t>STROŠEK GORIVA (poraba 3 l/h)</t>
    </r>
    <r>
      <rPr>
        <sz val="8"/>
        <color theme="1"/>
        <rFont val="Calibri"/>
        <family val="2"/>
        <charset val="238"/>
        <scheme val="minor"/>
      </rPr>
      <t xml:space="preserve"> (mesečno)</t>
    </r>
  </si>
  <si>
    <t>LASTNA CENA DELA</t>
  </si>
  <si>
    <t>Bočna traktorska kosilnica (mulčar)</t>
  </si>
  <si>
    <t>Enoosni traktor z mulčarjem ali puhalom</t>
  </si>
  <si>
    <t xml:space="preserve">Rezalka električna </t>
  </si>
  <si>
    <t>Električni bencinski agregat</t>
  </si>
  <si>
    <t>Papir A3 (kos)</t>
  </si>
  <si>
    <t>Delo izven delovnega časa (kolektivna pogodba)</t>
  </si>
  <si>
    <t>Postavitev cestno prometnega znaka (zamenjava droga + pz, brez materiala).</t>
  </si>
  <si>
    <t>Zamenjava cestno prometnega znaka.(zamenjava pz, brez materiala)</t>
  </si>
  <si>
    <t>CENA (EM: TONA)</t>
  </si>
  <si>
    <t>Povprečna količina (%)</t>
  </si>
  <si>
    <t>STROŠKI MANIPULACIJE</t>
  </si>
  <si>
    <t>Razklad, skladiščenje, naklad</t>
  </si>
  <si>
    <t xml:space="preserve">Količina (URA) </t>
  </si>
  <si>
    <t>Cena (URA)</t>
  </si>
  <si>
    <t>Stroški vzdrževanja objektov in energentov</t>
  </si>
  <si>
    <t>STROŠKI SKLADIŠČENJA</t>
  </si>
  <si>
    <t>ADMINISTRATIVNI STROŠKI</t>
  </si>
  <si>
    <t>Stroški priprave javne razpisa in postopka</t>
  </si>
  <si>
    <t>Stroški obračunavanja in odpisa</t>
  </si>
  <si>
    <t>Stroški vodenja skladiščnih zalog</t>
  </si>
  <si>
    <t>Količina (m3)</t>
  </si>
  <si>
    <t>8.2.</t>
  </si>
  <si>
    <r>
      <rPr>
        <b/>
        <sz val="8"/>
        <color theme="1"/>
        <rFont val="Calibri"/>
        <family val="2"/>
        <charset val="238"/>
        <scheme val="minor"/>
      </rPr>
      <t>NABAVNA CENA</t>
    </r>
    <r>
      <rPr>
        <sz val="8"/>
        <color theme="1"/>
        <rFont val="Calibri"/>
        <family val="2"/>
        <charset val="238"/>
        <scheme val="minor"/>
      </rPr>
      <t xml:space="preserve">(m3)  </t>
    </r>
  </si>
  <si>
    <t>POVPREČNA CENA (Eur/m3)</t>
  </si>
  <si>
    <t>CENA (EM:kpl)</t>
  </si>
  <si>
    <t xml:space="preserve">Količina (m2) </t>
  </si>
  <si>
    <t>Cena (m2)</t>
  </si>
  <si>
    <t>CENIK PRIMERJAVA</t>
  </si>
  <si>
    <t>Najemnina za cestno prometne znake</t>
  </si>
  <si>
    <t>Stroški vzdrževanja objektov in energenti</t>
  </si>
  <si>
    <t>CENA  (m3)</t>
  </si>
  <si>
    <t>Pesek drobljenec Verd</t>
  </si>
  <si>
    <t>Odstranitev betonske zaščite prekopa v debelini 3 cm s pripravo na preplastitev</t>
  </si>
  <si>
    <t>Komunalni delavec.:</t>
  </si>
  <si>
    <t>KALKULACIJE CENIKA - REŽIJSKE URNE POSTAVKE</t>
  </si>
  <si>
    <t>KALKULACIJE CENIKA - enote mere in popisih kompletnih storitev</t>
  </si>
  <si>
    <t>DONOS</t>
  </si>
  <si>
    <t>pl./mesec</t>
  </si>
  <si>
    <t>mesečni št. ur</t>
  </si>
  <si>
    <t>pl. r.</t>
  </si>
  <si>
    <t>5</t>
  </si>
  <si>
    <t>8</t>
  </si>
  <si>
    <t>10</t>
  </si>
  <si>
    <t>zap. št.</t>
  </si>
  <si>
    <t>1</t>
  </si>
  <si>
    <t>2</t>
  </si>
  <si>
    <t>3</t>
  </si>
  <si>
    <t>4</t>
  </si>
  <si>
    <t>6</t>
  </si>
  <si>
    <t>7</t>
  </si>
  <si>
    <t>9</t>
  </si>
  <si>
    <t>11</t>
  </si>
  <si>
    <t>12</t>
  </si>
  <si>
    <t>13</t>
  </si>
  <si>
    <t>14</t>
  </si>
  <si>
    <t>15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</si>
  <si>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</si>
  <si>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</si>
  <si>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</si>
  <si>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</si>
  <si>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</si>
  <si>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</si>
  <si>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</si>
  <si>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</si>
  <si>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</si>
  <si>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Uroš Gogala</t>
  </si>
  <si>
    <t>Žiga Meglič</t>
  </si>
  <si>
    <t xml:space="preserve">Blaž Špendov  </t>
  </si>
  <si>
    <t>jan/2020</t>
  </si>
  <si>
    <t>Šemso Durič</t>
  </si>
  <si>
    <t>Kolar Andrej</t>
  </si>
  <si>
    <t>Jože Krulič</t>
  </si>
  <si>
    <t>Mehmed Mušič</t>
  </si>
  <si>
    <t>Mušič Midhad</t>
  </si>
  <si>
    <t>Igor Novakov</t>
  </si>
  <si>
    <t>Zoran Zlatkov</t>
  </si>
  <si>
    <t>Žurman Dejan</t>
  </si>
  <si>
    <t>Sulejman Alibabič</t>
  </si>
  <si>
    <t>Ibrahimi Kushtrim</t>
  </si>
  <si>
    <t>Uroš Knific</t>
  </si>
  <si>
    <t>Vzdrževalci objektov in naprav</t>
  </si>
  <si>
    <t>Jure Podlipnik</t>
  </si>
  <si>
    <t>Robert Žepek</t>
  </si>
  <si>
    <t>29</t>
  </si>
  <si>
    <t>12,22</t>
  </si>
  <si>
    <t>Mušič Edham</t>
  </si>
  <si>
    <t>14, 22</t>
  </si>
  <si>
    <t>delež</t>
  </si>
  <si>
    <t>Janez Kosi</t>
  </si>
  <si>
    <t>Adel Numanovič</t>
  </si>
  <si>
    <t>Lucija Milonik</t>
  </si>
  <si>
    <t>št ur</t>
  </si>
  <si>
    <t>Urška Janežič</t>
  </si>
  <si>
    <t>Operativno vodstvo - izvedbena dela</t>
  </si>
  <si>
    <t>OPERATIVNA IZVEDBA: SKUPAJ:</t>
  </si>
  <si>
    <t>Kamren Hrovat</t>
  </si>
  <si>
    <t>cena/delež</t>
  </si>
  <si>
    <t xml:space="preserve">Nakladalec do 1 m3 </t>
  </si>
  <si>
    <t xml:space="preserve">Tovorna prikolica ndm do 750 kg </t>
  </si>
  <si>
    <t xml:space="preserve">Tovorna prikolica ndm do 3,5 t </t>
  </si>
  <si>
    <t>Tovorno vozilo do 15 t sdm</t>
  </si>
  <si>
    <t>Tovorno vozilo do 15 t sdm z avtodvigalom</t>
  </si>
  <si>
    <t>Tovorno vozilo od 15 - 24 t sdm z avtodvigalom</t>
  </si>
  <si>
    <t>Unimog (razreda U300 - U500)</t>
  </si>
  <si>
    <t>Posipalec za tovorna vozila - avtomatski</t>
  </si>
  <si>
    <t>Posipalec traktorski - regulacijski</t>
  </si>
  <si>
    <t>Kosilnica širine 100cm</t>
  </si>
  <si>
    <t xml:space="preserve">Komunalni delavec </t>
  </si>
  <si>
    <t>16</t>
  </si>
  <si>
    <t>17</t>
  </si>
  <si>
    <t>18</t>
  </si>
  <si>
    <t>19</t>
  </si>
  <si>
    <t xml:space="preserve">DONOS  </t>
  </si>
  <si>
    <t>Komunalni delavec</t>
  </si>
  <si>
    <t>Strojnik, Voznik</t>
  </si>
  <si>
    <t>Delovodja, Skupinovodja, Preglednik</t>
  </si>
  <si>
    <t>Operativna  režija</t>
  </si>
  <si>
    <t>OPERATIVNA REŽIJA: SKUPAJ</t>
  </si>
  <si>
    <t>STROŠEK REŽIJE</t>
  </si>
  <si>
    <t>REŽIJA: SKUPAJ</t>
  </si>
  <si>
    <t>Strokovna dela (nadzor, vodenje, pregledi objektov, izdelava poročil, izvedbeni načrti)</t>
  </si>
  <si>
    <t>Tovorno vozilo do 24 t sdm s smetarsko nadgradnjo</t>
  </si>
  <si>
    <t>Snežni plug - tovorno vozilo</t>
  </si>
  <si>
    <t>Snežni plug - traktor</t>
  </si>
  <si>
    <t>Delovodja, Skupinovodja, Preglednik, Dispečer, Voznik, Strojnik</t>
  </si>
  <si>
    <t>Mitja Šulc</t>
  </si>
  <si>
    <r>
      <rPr>
        <b/>
        <sz val="8"/>
        <color theme="1"/>
        <rFont val="Calibri"/>
        <family val="2"/>
        <charset val="238"/>
        <scheme val="minor"/>
      </rPr>
      <t>STROŠEK GORIVA (poraba l/h)</t>
    </r>
    <r>
      <rPr>
        <sz val="8"/>
        <color theme="1"/>
        <rFont val="Calibri"/>
        <family val="2"/>
        <charset val="238"/>
        <scheme val="minor"/>
      </rPr>
      <t xml:space="preserve"> (mesečno)</t>
    </r>
  </si>
  <si>
    <t>CENA (EM: m1)</t>
  </si>
  <si>
    <t>ure</t>
  </si>
  <si>
    <t>Elktrično udarno kladivo Kobra</t>
  </si>
  <si>
    <t>Mapa projektna (kos=</t>
  </si>
  <si>
    <t>UPORABA</t>
  </si>
  <si>
    <t>STROŠEK</t>
  </si>
  <si>
    <t>Povprečna nabavna vrednost</t>
  </si>
  <si>
    <t>Amortirzazacijska doba</t>
  </si>
  <si>
    <t>Količina (TONA)</t>
  </si>
  <si>
    <t>CENA  (TONA)</t>
  </si>
  <si>
    <t>8.1.</t>
  </si>
  <si>
    <r>
      <rPr>
        <b/>
        <sz val="8"/>
        <color theme="1"/>
        <rFont val="Calibri"/>
        <family val="2"/>
        <charset val="238"/>
        <scheme val="minor"/>
      </rPr>
      <t>NABAVNA CENA</t>
    </r>
    <r>
      <rPr>
        <sz val="8"/>
        <color theme="1"/>
        <rFont val="Calibri"/>
        <family val="2"/>
        <charset val="238"/>
        <scheme val="minor"/>
      </rPr>
      <t xml:space="preserve">(ura)  </t>
    </r>
  </si>
  <si>
    <t>Sol refuza</t>
  </si>
  <si>
    <t>Sol vreče</t>
  </si>
  <si>
    <t>Sol silos</t>
  </si>
  <si>
    <t>POVPREČNA CENA (Eur/Tono)</t>
  </si>
  <si>
    <t xml:space="preserve">Količina (kpl) </t>
  </si>
  <si>
    <t>Cena (kpl)</t>
  </si>
  <si>
    <r>
      <rPr>
        <b/>
        <sz val="8"/>
        <color theme="1"/>
        <rFont val="Calibri"/>
        <family val="2"/>
        <charset val="238"/>
        <scheme val="minor"/>
      </rPr>
      <t>Ocena vrednosti priprave stroja</t>
    </r>
    <r>
      <rPr>
        <sz val="8"/>
        <color theme="1"/>
        <rFont val="Calibri"/>
        <family val="2"/>
        <charset val="238"/>
        <scheme val="minor"/>
      </rPr>
      <t xml:space="preserve"> </t>
    </r>
  </si>
  <si>
    <t>Plug</t>
  </si>
  <si>
    <t>Posipalec</t>
  </si>
  <si>
    <t>Traktor</t>
  </si>
  <si>
    <t>Najem zemljišča za deponijo posipnih materialov</t>
  </si>
  <si>
    <t>Najem zemljišča</t>
  </si>
  <si>
    <t>CENA(EM: m1)</t>
  </si>
  <si>
    <t>TRASIRNO ORODJE</t>
  </si>
  <si>
    <t>Ograja in  oznake</t>
  </si>
  <si>
    <t>Profili</t>
  </si>
  <si>
    <t>Zaščita in ureditev gradbišča od 200  do 800 m2  (označitev, zaščita gradbenih jam).</t>
  </si>
  <si>
    <t xml:space="preserve">Zakoličba obstoječih komunalnih vodov do 30 m </t>
  </si>
  <si>
    <t>CENA(EM: m2)</t>
  </si>
  <si>
    <r>
      <rPr>
        <b/>
        <sz val="8"/>
        <color theme="1"/>
        <rFont val="Calibri"/>
        <family val="2"/>
        <charset val="238"/>
        <scheme val="minor"/>
      </rPr>
      <t>STROŠEK GORIVA (poraba/100 km)</t>
    </r>
    <r>
      <rPr>
        <sz val="8"/>
        <color theme="1"/>
        <rFont val="Calibri"/>
        <family val="2"/>
        <charset val="238"/>
        <scheme val="minor"/>
      </rPr>
      <t xml:space="preserve"> (mesečno)</t>
    </r>
  </si>
  <si>
    <r>
      <rPr>
        <b/>
        <sz val="8"/>
        <color theme="1"/>
        <rFont val="Calibri"/>
        <family val="2"/>
        <charset val="238"/>
        <scheme val="minor"/>
      </rPr>
      <t>STROŠEK GORIVA (porabal/100 km)</t>
    </r>
    <r>
      <rPr>
        <sz val="8"/>
        <color theme="1"/>
        <rFont val="Calibri"/>
        <family val="2"/>
        <charset val="238"/>
        <scheme val="minor"/>
      </rPr>
      <t xml:space="preserve"> (mesečno)</t>
    </r>
  </si>
  <si>
    <r>
      <rPr>
        <b/>
        <sz val="8"/>
        <color theme="1"/>
        <rFont val="Calibri"/>
        <family val="2"/>
        <charset val="238"/>
        <scheme val="minor"/>
      </rPr>
      <t>STROŠEK GORIVA (porabal/h)</t>
    </r>
    <r>
      <rPr>
        <sz val="8"/>
        <color theme="1"/>
        <rFont val="Calibri"/>
        <family val="2"/>
        <charset val="238"/>
        <scheme val="minor"/>
      </rPr>
      <t xml:space="preserve"> (mesečno)</t>
    </r>
  </si>
  <si>
    <t>Določitev višin in postavitev gradbenih profilov vzdolžnih objektov na teren v dolžin od 200 do 800 m1</t>
  </si>
  <si>
    <t>Rezanje asfalta do 30 m1</t>
  </si>
  <si>
    <t>Bager 4t</t>
  </si>
  <si>
    <t>Bager 8t</t>
  </si>
  <si>
    <t>Kombinirani izkop in zasip reparaturne gradbene jame do 8 m3 z odlaganjem izkopnega materiala za varnostnim robom izkopa in utrjevanjem</t>
  </si>
  <si>
    <t>Kombinirani izkop in zasip reparaturne gradbene jame do 8 m3 z odlaganjem izkopnega materiala za varnostnim robom izkopa in utrjevanjem.</t>
  </si>
  <si>
    <t>Kombinirani izkop in zasip reparaturne gradbene jame do 8 m3 z odvozom odpadnega materiala na stalno deponijo in dovozom potrebnega gradbenega materiala  ter utrjevanjem.</t>
  </si>
  <si>
    <t>0,5</t>
  </si>
  <si>
    <t>Kombinirano planiranje terena z dovozom potrebnega materiala, odvozom odpadnega materiala in utrjevanjem.</t>
  </si>
  <si>
    <t>KOLIČINA (km/h)</t>
  </si>
  <si>
    <t>CENA: (EM: km)</t>
  </si>
  <si>
    <t>Kombinirano planiranje terena do 800m2 z dovozom potrebnega materiala, odvozom odpadnega materiala in utrjevanjem.</t>
  </si>
  <si>
    <t>Izdelava križanj z obstoječimi komunalnimi in energetskimi vodi.</t>
  </si>
  <si>
    <t xml:space="preserve">Izdelava križanj z obstoječimi komunalnimi in energetskimi vodi </t>
  </si>
  <si>
    <t>Izdelava obsipa komunalnega in energetskega voda.</t>
  </si>
  <si>
    <t>Vgrandja UK pvc cevi premera do fi 400 in revizijskih jaškov v fekalne in meteorne sisteme z betonskim ali gramoznim obsipom do 20 m.</t>
  </si>
  <si>
    <t>CENA (EM:kpl )</t>
  </si>
  <si>
    <t>Izdelava dvostrankega opaža temeljev do 20 m2.</t>
  </si>
  <si>
    <t>Izdelava dvostrasnskega opaža betonskih sten višine do 2 m skupaj do 20 m2.</t>
  </si>
  <si>
    <t>Zidanje betonskih sten z opažnim betonskim blokom širine od 15 - 30 cm z vgradnjo betona, skupaj od 5-15 m2</t>
  </si>
  <si>
    <t>Vgrandja UK pvc cevi premera do fi 400 in revizijskih jaškov v fekalne in meteorne sisteme z betonskim ali gramoznim obsipom od 10 -20 m.</t>
  </si>
  <si>
    <t>Odstranitev začasne betonske prevleke prekopa</t>
  </si>
  <si>
    <t>Vgradnja cestnih in lamelnih robnikov od 5 - 15 m1</t>
  </si>
  <si>
    <t>Vgradnja cestnih in lamelnih robnikov od 5-15 m1</t>
  </si>
  <si>
    <t>Zidanje betonskih sten z opažnim betonskim blokom širine od 15 - 30 cm z vgradnjo betona od 5 -15m2</t>
  </si>
  <si>
    <t>Zidanje kamnitih sten v betonu iz naravnega kamanja odstrel 300 v širini do 40 cm od 5-15m2</t>
  </si>
  <si>
    <t>Krivljenj in vezanje enostavnega armaturnega železa do fi 12, do 100 kg</t>
  </si>
  <si>
    <t>Strojna vgradnja črpanega betona v konstrukcijske različnih presekov od 5 - 10m3</t>
  </si>
  <si>
    <r>
      <t>STROJNO ORODJE</t>
    </r>
    <r>
      <rPr>
        <sz val="8"/>
        <color theme="1"/>
        <rFont val="Calibri"/>
        <family val="2"/>
        <charset val="238"/>
        <scheme val="minor"/>
      </rPr>
      <t xml:space="preserve"> (ura</t>
    </r>
    <r>
      <rPr>
        <b/>
        <sz val="8"/>
        <color theme="1"/>
        <rFont val="Calibri"/>
        <family val="2"/>
        <charset val="238"/>
        <scheme val="minor"/>
      </rPr>
      <t>)</t>
    </r>
  </si>
  <si>
    <t>Vibracijska igla za beton</t>
  </si>
  <si>
    <t>Ročna vgradnja enoslojne asfaltne plasti debeline do 4 cm cm od 16-30 m2</t>
  </si>
  <si>
    <t>Ročna vgradnja enoslojne asfaltne plasti debeline do 4 cm do 15 m2</t>
  </si>
  <si>
    <t>Ročna vgradnja enoslojne asfaltne plasti debeline do 4 cm cm od 31-100 m2</t>
  </si>
  <si>
    <t>Ročna vgradnja dvoslojne asfaltne plasti debeline do 10 cm do 15 m2</t>
  </si>
  <si>
    <t>Ročna vgradnja enoslojne asfaltne plasti debeline do 4 cm od 31-100 m2</t>
  </si>
  <si>
    <t>Ročna vgradnja dvoslojne asfaltne plasti debeline do 10 cm od 16-30 m2</t>
  </si>
  <si>
    <t>Ročna vgradnja enoslojne asfaltne plasti debeline do 4 cm od 16-30 m2</t>
  </si>
  <si>
    <t>Ročna vgradnja dvoslojne asfaltne plasti debeline do 10 cm od 31-100 m2</t>
  </si>
  <si>
    <r>
      <rPr>
        <b/>
        <sz val="8"/>
        <color theme="1"/>
        <rFont val="Calibri"/>
        <family val="2"/>
        <charset val="238"/>
        <scheme val="minor"/>
      </rPr>
      <t>STROJNO ORODJE</t>
    </r>
    <r>
      <rPr>
        <sz val="8"/>
        <color theme="1"/>
        <rFont val="Calibri"/>
        <family val="2"/>
        <charset val="238"/>
        <scheme val="minor"/>
      </rPr>
      <t xml:space="preserve"> (ura)</t>
    </r>
  </si>
  <si>
    <t>Strojno mulčanje in ročna košnja trave kombinirani teren</t>
  </si>
  <si>
    <t xml:space="preserve">Strojno mulčanje in ročna košnja trave ravninski teren </t>
  </si>
  <si>
    <t>Strojno mulčanje in ročna košnja trave brežine do 30*</t>
  </si>
  <si>
    <t>Strojno mulčanje brežine nad 30*</t>
  </si>
  <si>
    <t>Stojno mulčanje in ročna košnja brežin nad 30*, kolektivni in individualni varnostni ukrepi</t>
  </si>
  <si>
    <t>Bager 4,5 t</t>
  </si>
  <si>
    <t>Sanacija cestnega objekta (kanalsko rešeto, linijsko rešeto, kanalski pokrov) do 0,25 m3 vgrajenega betona (material obračunan po dejanskih količinah).</t>
  </si>
  <si>
    <t>Sanacija cestnega objekta (kanalsko rešeto, linijsko rešeto, kanalski pokrov) do 0,5 m3 vgrajenega betona (material obračunan po dejanskih količinah).</t>
  </si>
  <si>
    <t>Cestni delavci na relaciji izvedbenega plana mesto Jesenice</t>
  </si>
  <si>
    <t>Cestni delavci na relaciji izvedbenega plana krajevne skupnosti</t>
  </si>
  <si>
    <t>OSTALA DELA</t>
  </si>
  <si>
    <t>Zbiranje komunalnih odpadkov mešani komunalni odpad 5m3 zabojnik</t>
  </si>
  <si>
    <t>Obdelava odpadkov - 5m3 zabojnik</t>
  </si>
  <si>
    <t>Odlaganje odpadkov - 5 m3 zabojnik</t>
  </si>
  <si>
    <t>Odlaganje odpadkov - javna infra - 5m3 zabojnik</t>
  </si>
  <si>
    <t xml:space="preserve">Cena </t>
  </si>
  <si>
    <t>Količina  (5m3 zabojnik)</t>
  </si>
  <si>
    <t>Okoljska dajatev - 5m3 zaboj</t>
  </si>
  <si>
    <t>114001</t>
  </si>
  <si>
    <t>114011</t>
  </si>
  <si>
    <t>114061</t>
  </si>
  <si>
    <t>114071</t>
  </si>
  <si>
    <t>114041</t>
  </si>
  <si>
    <t>114051</t>
  </si>
  <si>
    <t>Finančno jamstvo - 5m3 zaboj</t>
  </si>
  <si>
    <t>Odvoz 5m3 zabojnika kosovnih odpadkov Občina Jesenice</t>
  </si>
  <si>
    <t>Odvoz 5m3 zabojnika mešanih komunalnih odpadkov Občina Jesenice</t>
  </si>
  <si>
    <t>Odvoz 5m3 zabojnika mešanih komunalnih odpadkov Občina Žirovnica</t>
  </si>
  <si>
    <t>Odvoz 5m3 zabojnika kosovnih odpadkov Občina Žirovnica</t>
  </si>
  <si>
    <t>114014</t>
  </si>
  <si>
    <t>114064</t>
  </si>
  <si>
    <t>114074</t>
  </si>
  <si>
    <t>114044</t>
  </si>
  <si>
    <t>114054</t>
  </si>
  <si>
    <t>114003</t>
  </si>
  <si>
    <t>114013</t>
  </si>
  <si>
    <t>114063</t>
  </si>
  <si>
    <t>114073</t>
  </si>
  <si>
    <t>114043</t>
  </si>
  <si>
    <t>114053</t>
  </si>
  <si>
    <t>Odvoz 1100 l zabojnika za odpadke Občina Žirovnica</t>
  </si>
  <si>
    <t>Zbiranje komunalnih odpadkov mešani komunalni odpad 1100l zabojnik</t>
  </si>
  <si>
    <t>Obdelava odpadkov - 1100l zabojnik</t>
  </si>
  <si>
    <t>Odlaganje odpadkov - javna infra - 1100l zabojnik</t>
  </si>
  <si>
    <t>Okoljska dajatev - 1100l zabojnik</t>
  </si>
  <si>
    <t>Finančno jamstvo - 1100l zabojnik</t>
  </si>
  <si>
    <t>Količina  (m2)</t>
  </si>
  <si>
    <t>CENA (EM:dan)</t>
  </si>
  <si>
    <t>SKUPAJ (m2):</t>
  </si>
  <si>
    <t>Potrebna površina (m2)</t>
  </si>
  <si>
    <t>Dnevno</t>
  </si>
  <si>
    <t>Najemnina infrastrukture mesečno</t>
  </si>
  <si>
    <t>Manipulacije (mesečn)</t>
  </si>
  <si>
    <t>voz./dan</t>
  </si>
  <si>
    <t>Snemalna naprava za snemanje cevnih sistemov</t>
  </si>
  <si>
    <t>6.21</t>
  </si>
  <si>
    <t>Emulziranje podlage do 15m2</t>
  </si>
  <si>
    <t>Emulziranje podlage od 16-30m2</t>
  </si>
  <si>
    <t>Emulziranje podlage od 31 do 100m2</t>
  </si>
  <si>
    <t>7.8</t>
  </si>
  <si>
    <t>7.9</t>
  </si>
  <si>
    <t>7.10</t>
  </si>
  <si>
    <t>5.9</t>
  </si>
  <si>
    <t>Plug planer, nakladalec traktorski</t>
  </si>
  <si>
    <t>3.15</t>
  </si>
  <si>
    <t>Tovorno vozilo do 15 t sdm z nadgradnjo za črpanje greznic</t>
  </si>
  <si>
    <t>6.22</t>
  </si>
  <si>
    <t>Strojno čiščenje  ponikovalnice</t>
  </si>
  <si>
    <t>9.7</t>
  </si>
  <si>
    <t>Ročno čiščenje ponikovalnice (brez stroška odvoza in deponiranja na DMM)</t>
  </si>
  <si>
    <t>komunalni delavec</t>
  </si>
  <si>
    <t>Tovorno vozilo do 3,5  t</t>
  </si>
  <si>
    <t>9.8</t>
  </si>
  <si>
    <t>9.9</t>
  </si>
  <si>
    <t>Strojno čiščenje ponikovalnice</t>
  </si>
  <si>
    <t>Strojno čiščenje meteornih mrež</t>
  </si>
  <si>
    <t>Pregled hudournikov skladu z izvedbenim programom rv met. kanalizacije</t>
  </si>
  <si>
    <t>Določitev višin in postavitev gradbenih profilov vzdolžnih objektov na teren v dolžini od 200 do 800 m1</t>
  </si>
  <si>
    <t>Delo v nedeljo (Kolektivna pogodba komunalnih dejavnosti)</t>
  </si>
  <si>
    <t>Nočno delo (Kolektivna pogodba komunalnih dejavnosti)</t>
  </si>
  <si>
    <t>Delo na praznik in dela proste dneve po zakonu (Kolektivna pogodba komunalnih dejavnosti)</t>
  </si>
  <si>
    <t>100 %</t>
  </si>
  <si>
    <t>2.6</t>
  </si>
  <si>
    <t>2.7</t>
  </si>
  <si>
    <t>2.8</t>
  </si>
  <si>
    <t>Delo preko polnega delovnega časa (Podjetniško kolektivna pogodba)</t>
  </si>
  <si>
    <t>Dodatek za zimske pogoje dela (Podjetniško kolektivna pogodba)</t>
  </si>
  <si>
    <t>Dodatek za težka in umazana dela (Podjetniško kolektivna pogodba)</t>
  </si>
  <si>
    <t>Dodatek za nevarna dela (Podjetniško kolektivna pogodba)</t>
  </si>
  <si>
    <t>6 %</t>
  </si>
  <si>
    <t>10 %</t>
  </si>
  <si>
    <t>Dodatek za posipanje (Podjetniško kolektivan pogodba)</t>
  </si>
  <si>
    <t>Dodatek za zdravju škodljiva dela (Podjetniško kolektivna pogodba)</t>
  </si>
  <si>
    <t>2.9</t>
  </si>
  <si>
    <t>2.10</t>
  </si>
  <si>
    <t>2.11</t>
  </si>
  <si>
    <t>Dodatek za visoke temperature (Podjetniško kolektivna pogodba)</t>
  </si>
  <si>
    <t>Dodatek za pluženje (Podjetniško kolektivna pogodba)</t>
  </si>
  <si>
    <t>Dodatek za ročno čiščenje snega (Podjetniško kolektivna pogodba)</t>
  </si>
  <si>
    <t>2.12</t>
  </si>
  <si>
    <t>Stroškovno mesto</t>
  </si>
  <si>
    <t xml:space="preserve">Zamenjava cestnega smernika </t>
  </si>
  <si>
    <t>23159,25</t>
  </si>
  <si>
    <t>Legat Tomaž</t>
  </si>
  <si>
    <t>Hafizovič Amir</t>
  </si>
  <si>
    <t>Mahmutovič Almedin</t>
  </si>
  <si>
    <t>3.16</t>
  </si>
  <si>
    <t>Tovorno vozilo do 24 t sdm</t>
  </si>
  <si>
    <t>Električni stroj za čiščenje odtočnih cevi Ridgid</t>
  </si>
  <si>
    <t>Vzdrževanje cest</t>
  </si>
  <si>
    <t>Podproces</t>
  </si>
  <si>
    <t>Cena dela</t>
  </si>
  <si>
    <t>Delež obračuna</t>
  </si>
  <si>
    <t>Pov. cena 2021</t>
  </si>
  <si>
    <t>Prihodki iz naslova dela 2021</t>
  </si>
  <si>
    <t>Št. delovnih ur 2021</t>
  </si>
  <si>
    <t>Vzdrževanje zelenih površin</t>
  </si>
  <si>
    <t>Cena dela po predlogu cenika</t>
  </si>
  <si>
    <t>Delež obračuna po predlogu cenika</t>
  </si>
  <si>
    <t>Pov. cena po predlogu cenika</t>
  </si>
  <si>
    <t>Število strojnih ur</t>
  </si>
  <si>
    <t>Pov. cena strojne ure</t>
  </si>
  <si>
    <t>Prihodki iz naslova strojnih del</t>
  </si>
  <si>
    <t>Število strojnih ur po predlogu cenika in projekciji</t>
  </si>
  <si>
    <t xml:space="preserve">Projekcija št. delovnih ur </t>
  </si>
  <si>
    <t xml:space="preserve">Prihodki iz naslova dela po predlogu cenika in projekciji </t>
  </si>
  <si>
    <t>Skupaj:</t>
  </si>
  <si>
    <t>POSLOVANJE 2021</t>
  </si>
  <si>
    <t>Potrebna zagotovitev dodatnih proračunskih sredstev v višini :</t>
  </si>
  <si>
    <t>PROJEKCIJA POSLOVANJA 2022</t>
  </si>
  <si>
    <t>Skupaj podproces javne površine</t>
  </si>
  <si>
    <t>Predlog cenika</t>
  </si>
  <si>
    <t>Obstoječa cenika</t>
  </si>
  <si>
    <t>indeks (obstoječe cene = 100)</t>
  </si>
  <si>
    <t>STROŠKI STROKOVNIH SLUŽB (ključ delitve stroškov)</t>
  </si>
  <si>
    <t>SPLOŠNA DOLOČILA</t>
  </si>
  <si>
    <t>Indeks spremembe cen dela:</t>
  </si>
  <si>
    <t>Indeks spremembe cen dodatkov na delo:</t>
  </si>
  <si>
    <t>Indeks spremembe cen za obračunavanje vozil:</t>
  </si>
  <si>
    <t>Indeks spremembe cen za obračunavanje delovnih strojev:</t>
  </si>
  <si>
    <t>Indeks spremembe cen za obračunavanje priključkov:</t>
  </si>
  <si>
    <t>Indeks spremembe cen za obračunavanje strojnega orodja:</t>
  </si>
  <si>
    <t>Indeks spremembe cen za obračunavanje zimska služba:</t>
  </si>
  <si>
    <t>Indeks spremembe cen za obračunavanje del cestnega gospodarstva:</t>
  </si>
  <si>
    <t>IZRAČUN VPLIVA DVIGA CEN NA PRORAČUNSKA SREDSTVA</t>
  </si>
  <si>
    <t>Prihodki iz naslova dela in uporabe stojne opreme</t>
  </si>
  <si>
    <t>Pregled hudournikov v skladu izvedbenim programom rv met. kanalizacije</t>
  </si>
  <si>
    <t>4.6</t>
  </si>
  <si>
    <t>Tovorno vozilo s priklopnikom in polpriklopnikom sdm 40 t [jr]</t>
  </si>
  <si>
    <t>Tovorno vozilo U 406 [jr]</t>
  </si>
  <si>
    <t>Traktor 125 ks s tovorno prikolico 11 t sdm [jr]</t>
  </si>
  <si>
    <t>e/km</t>
  </si>
  <si>
    <t>3.19</t>
  </si>
  <si>
    <t>3.20</t>
  </si>
  <si>
    <t>4.7</t>
  </si>
  <si>
    <t>Tovorno vozilo za premik delovnih strojev [jr]</t>
  </si>
  <si>
    <t>Rovokopač 8 t [jr]</t>
  </si>
  <si>
    <t>Bager 1,8 t [jr]</t>
  </si>
  <si>
    <t>4.8</t>
  </si>
  <si>
    <t>Bager 4,5 t [jr]</t>
  </si>
  <si>
    <t>4.9</t>
  </si>
  <si>
    <t>Bager 7,5 t [jr]</t>
  </si>
  <si>
    <t>Bager 24 t [jr]</t>
  </si>
  <si>
    <t>Bager 26 t [jr]</t>
  </si>
  <si>
    <t>4.11</t>
  </si>
  <si>
    <t>Valjar 1 t [jr]</t>
  </si>
  <si>
    <t>4.13</t>
  </si>
  <si>
    <t>4.15</t>
  </si>
  <si>
    <t>Valjar 3,5 t [jr]</t>
  </si>
  <si>
    <t>Valjar zemljski [jr]</t>
  </si>
  <si>
    <t>Udarno kladivo za bager 4,5 [jr]</t>
  </si>
  <si>
    <t>Udarno kladivo za bager 8 t [jr]</t>
  </si>
  <si>
    <t>5.10</t>
  </si>
  <si>
    <t>Snežni rezkar U 500 [jr]</t>
  </si>
  <si>
    <t>6.23</t>
  </si>
  <si>
    <t>Svetlobni stolp [jr]</t>
  </si>
  <si>
    <t>Gradbeni kompresor [jr]</t>
  </si>
  <si>
    <t>6.24</t>
  </si>
  <si>
    <t>Rezalka za asfalt [jr]</t>
  </si>
  <si>
    <t>Vpliv dviga cen storitev in plač</t>
  </si>
  <si>
    <t>Traktor [do 50kW]</t>
  </si>
  <si>
    <t>Traktor [ 50 - 70 kW]</t>
  </si>
  <si>
    <t>Traktor [ 70 kW - 90 kW]</t>
  </si>
  <si>
    <t>Traktor [nad 90 kW]</t>
  </si>
  <si>
    <t>3.21</t>
  </si>
  <si>
    <t>6.25</t>
  </si>
  <si>
    <t xml:space="preserve">PROCES </t>
  </si>
  <si>
    <t>Vzdrževane zelenih javnih površin</t>
  </si>
  <si>
    <t>Indeks [obstoječe cene = 100]</t>
  </si>
  <si>
    <t>Povprečni indeks sprememb cen:</t>
  </si>
  <si>
    <t>5. Cene ne vsebujejo ddv.</t>
  </si>
  <si>
    <t>5. [jr] = cene izvajalcev pridobljene na javnem razpisu</t>
  </si>
  <si>
    <t>1. Cenik režijskih urnih postavk</t>
  </si>
  <si>
    <t>2. Cene vozil in delovnih strojev vsebujejo ceno dela.</t>
  </si>
  <si>
    <t>3. Cene priključkov tovornih vozil in traktorjev ter strojnega orodja ne vsebujejo cene dela.</t>
  </si>
  <si>
    <t xml:space="preserve">2. Cene ne vsebujejo vgrajenih gradbenih materialov po postavkah iz opisov del. </t>
  </si>
  <si>
    <t>3. Gradbeni materiali se obračunajo po pogodbenih cenah dobaviteljev, odpadni materiali po prevzemnih cenah prevzemnikov obdelave in deponiranja.</t>
  </si>
  <si>
    <t>4. Posebne okoliščine dela v ceni niso vračunane.</t>
  </si>
  <si>
    <t>1. Cenik za obračun enote mere</t>
  </si>
  <si>
    <t>JEKO, javno komunalno podjetje, d.o.o., Jesenice</t>
  </si>
  <si>
    <t>Direktor:</t>
  </si>
  <si>
    <t xml:space="preserve">CENIK </t>
  </si>
  <si>
    <t>ENOTE MERE</t>
  </si>
  <si>
    <t>REŽIJSKIH URNIH POSTAVK</t>
  </si>
  <si>
    <t>Uroš Bučar, univ. dipl. ekon.</t>
  </si>
  <si>
    <t>Ročno čiščenje ponikovalnic (brez stroška odvoza in odstranjevanja)</t>
  </si>
  <si>
    <t>Izdelava dvostranskega opaža temeljev od 10-20 m2.</t>
  </si>
  <si>
    <t>Izdelava dvostranskega opaža betonskih sten višine do 2 m od 10-20 m2</t>
  </si>
  <si>
    <t>Krivljenje in vezanje enostavnega armaturnega železa do fi 12, skupaj do 100 kg</t>
  </si>
  <si>
    <t>Zidanje kamnitih sten v betonu iz naravnega kamenja odstrel 300 v širini do 40 cm, skupaj od 5-15 m2</t>
  </si>
  <si>
    <t>Električno udarno kladivo kobra</t>
  </si>
  <si>
    <t xml:space="preserve">Zimska služba </t>
  </si>
  <si>
    <t xml:space="preserve">Redno letno vzdrževanje </t>
  </si>
  <si>
    <t>Vrednost proračunskih sredstev:</t>
  </si>
  <si>
    <t xml:space="preserve">	Izračun vpliva spremembe cen na proračunska sredstva v občini Žirovnica</t>
  </si>
  <si>
    <t>Nakladalec mali (razred bob cat 553, 7753)[jr]</t>
  </si>
  <si>
    <t>3.22</t>
  </si>
  <si>
    <t>Marolt Jože</t>
  </si>
  <si>
    <t>Primož Kralj</t>
  </si>
  <si>
    <t>Visokotlačni čistilec na tovornem vozilu do 3,5 sdm</t>
  </si>
  <si>
    <t>dvig 6 %</t>
  </si>
  <si>
    <t>4.16</t>
  </si>
  <si>
    <t xml:space="preserve">	Izračun vpliva spremembe cen na proračunska sredstva v občini Jesenice</t>
  </si>
  <si>
    <t xml:space="preserve">Vpliv na proračunska sredstva </t>
  </si>
  <si>
    <t>Projekcija potrebnih proračnskih sredstev 2025 [predlog cenika]</t>
  </si>
  <si>
    <t>Porabe proračunskih sredstev 2024 [veljavni cenik]</t>
  </si>
  <si>
    <t xml:space="preserve">Skupaj: </t>
  </si>
  <si>
    <t>VII/09-230-01/4-2025</t>
  </si>
  <si>
    <t>VII/09-230-01/3-2025</t>
  </si>
  <si>
    <r>
      <rPr>
        <b/>
        <sz val="8"/>
        <color theme="1"/>
        <rFont val="Calibri"/>
        <family val="2"/>
        <charset val="238"/>
        <scheme val="minor"/>
      </rPr>
      <t xml:space="preserve">STROŠEK </t>
    </r>
    <r>
      <rPr>
        <sz val="8"/>
        <color theme="1"/>
        <rFont val="Calibri"/>
        <family val="2"/>
        <charset val="238"/>
        <scheme val="minor"/>
      </rPr>
      <t xml:space="preserve"> (mesečno)</t>
    </r>
  </si>
  <si>
    <r>
      <rPr>
        <b/>
        <sz val="8"/>
        <color theme="1"/>
        <rFont val="Calibri"/>
        <family val="2"/>
        <charset val="238"/>
        <scheme val="minor"/>
      </rPr>
      <t>STROŠEK</t>
    </r>
    <r>
      <rPr>
        <sz val="8"/>
        <color theme="1"/>
        <rFont val="Calibri"/>
        <family val="2"/>
        <charset val="238"/>
        <scheme val="minor"/>
      </rPr>
      <t xml:space="preserve"> (mesečno)</t>
    </r>
  </si>
  <si>
    <r>
      <rPr>
        <b/>
        <sz val="8"/>
        <color theme="1"/>
        <rFont val="Calibri"/>
        <family val="2"/>
        <charset val="238"/>
        <scheme val="minor"/>
      </rPr>
      <t xml:space="preserve">STROŠEK </t>
    </r>
    <r>
      <rPr>
        <sz val="8"/>
        <color theme="1"/>
        <rFont val="Calibri"/>
        <family val="2"/>
        <charset val="238"/>
        <scheme val="minor"/>
      </rPr>
      <t>(mesečno)</t>
    </r>
  </si>
  <si>
    <t>Cenik velja od 1.7.2025 dalje.</t>
  </si>
  <si>
    <t>VII/09-230-01/3-2024</t>
  </si>
  <si>
    <t>Cenik velja od 1.7.2025 dalje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</si>
</sst>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#,##0.000\ &quot;€&quot;"/>
  </numFmts>
  <fonts count="6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ourier New"/>
      <family val="3"/>
      <charset val="238"/>
    </font>
    <font>
      <sz val="11"/>
      <color rgb="FF000000"/>
      <name val="Courier New"/>
      <family val="3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b/>
      <u/>
      <sz val="14"/>
      <name val="Calibri"/>
      <family val="2"/>
      <charset val="238"/>
    </font>
    <font>
      <b/>
      <sz val="14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 CE"/>
      <charset val="238"/>
    </font>
    <font>
      <b/>
      <sz val="8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8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u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u/>
      <sz val="8"/>
      <color theme="1"/>
      <name val="Arial"/>
      <family val="2"/>
      <charset val="238"/>
    </font>
    <font>
      <b/>
      <u/>
      <sz val="11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11"/>
      <color rgb="FFFF000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9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2" borderId="1" xfId="0" applyFont="1" applyFill="1" applyBorder="1"/>
    <xf numFmtId="0" fontId="10" fillId="0" borderId="2" xfId="0" applyFont="1" applyBorder="1"/>
    <xf numFmtId="0" fontId="11" fillId="0" borderId="0" xfId="0" applyFont="1"/>
    <xf numFmtId="14" fontId="10" fillId="0" borderId="0" xfId="0" applyNumberFormat="1" applyFont="1"/>
    <xf numFmtId="0" fontId="9" fillId="0" borderId="0" xfId="0" applyFont="1"/>
    <xf numFmtId="0" fontId="10" fillId="0" borderId="0" xfId="0" applyFont="1"/>
    <xf numFmtId="0" fontId="10" fillId="2" borderId="6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49" fontId="0" fillId="0" borderId="26" xfId="0" applyNumberForma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1" xfId="0" applyBorder="1" applyAlignment="1">
      <alignment horizontal="center"/>
    </xf>
    <xf numFmtId="2" fontId="14" fillId="3" borderId="45" xfId="0" applyNumberFormat="1" applyFont="1" applyFill="1" applyBorder="1" applyAlignment="1">
      <alignment horizontal="center"/>
    </xf>
    <xf numFmtId="2" fontId="14" fillId="4" borderId="10" xfId="0" applyNumberFormat="1" applyFont="1" applyFill="1" applyBorder="1" applyAlignment="1">
      <alignment horizontal="center"/>
    </xf>
    <xf numFmtId="164" fontId="14" fillId="4" borderId="10" xfId="0" applyNumberFormat="1" applyFont="1" applyFill="1" applyBorder="1" applyAlignment="1">
      <alignment horizontal="center"/>
    </xf>
    <xf numFmtId="164" fontId="13" fillId="4" borderId="36" xfId="0" applyNumberFormat="1" applyFont="1" applyFill="1" applyBorder="1" applyAlignment="1">
      <alignment horizontal="center" vertical="center"/>
    </xf>
    <xf numFmtId="164" fontId="13" fillId="4" borderId="37" xfId="0" applyNumberFormat="1" applyFont="1" applyFill="1" applyBorder="1" applyAlignment="1">
      <alignment horizontal="center" vertical="center"/>
    </xf>
    <xf numFmtId="2" fontId="14" fillId="4" borderId="21" xfId="0" applyNumberFormat="1" applyFont="1" applyFill="1" applyBorder="1" applyAlignment="1">
      <alignment horizontal="center"/>
    </xf>
    <xf numFmtId="2" fontId="14" fillId="4" borderId="20" xfId="0" applyNumberFormat="1" applyFont="1" applyFill="1" applyBorder="1" applyAlignment="1">
      <alignment horizontal="center"/>
    </xf>
    <xf numFmtId="164" fontId="13" fillId="4" borderId="38" xfId="0" applyNumberFormat="1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0" fontId="11" fillId="0" borderId="0" xfId="0" applyFont="1" applyAlignment="1">
      <alignment horizontal="left"/>
    </xf>
    <xf numFmtId="164" fontId="0" fillId="0" borderId="22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9" xfId="0" applyBorder="1" applyAlignment="1">
      <alignment horizont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49" fontId="0" fillId="0" borderId="8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1" fillId="3" borderId="30" xfId="0" applyFont="1" applyFill="1" applyBorder="1" applyAlignment="1">
      <alignment horizontal="center"/>
    </xf>
    <xf numFmtId="164" fontId="20" fillId="3" borderId="30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2" fillId="5" borderId="53" xfId="0" applyFont="1" applyFill="1" applyBorder="1" applyAlignment="1">
      <alignment horizontal="center" vertical="top" wrapText="1"/>
    </xf>
    <xf numFmtId="0" fontId="12" fillId="5" borderId="53" xfId="0" applyFont="1" applyFill="1" applyBorder="1" applyAlignment="1">
      <alignment horizontal="center" vertical="top"/>
    </xf>
    <xf numFmtId="0" fontId="12" fillId="5" borderId="6" xfId="0" applyFont="1" applyFill="1" applyBorder="1" applyAlignment="1">
      <alignment horizontal="center" vertical="top" wrapText="1"/>
    </xf>
    <xf numFmtId="0" fontId="12" fillId="5" borderId="6" xfId="0" applyFont="1" applyFill="1" applyBorder="1" applyAlignment="1">
      <alignment horizontal="center" vertical="top"/>
    </xf>
    <xf numFmtId="164" fontId="18" fillId="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4" fontId="14" fillId="4" borderId="21" xfId="0" applyNumberFormat="1" applyFont="1" applyFill="1" applyBorder="1" applyAlignment="1">
      <alignment horizontal="center"/>
    </xf>
    <xf numFmtId="164" fontId="0" fillId="0" borderId="0" xfId="0" applyNumberFormat="1"/>
    <xf numFmtId="49" fontId="12" fillId="4" borderId="34" xfId="0" applyNumberFormat="1" applyFont="1" applyFill="1" applyBorder="1" applyAlignment="1">
      <alignment horizontal="center"/>
    </xf>
    <xf numFmtId="49" fontId="12" fillId="4" borderId="14" xfId="0" applyNumberFormat="1" applyFont="1" applyFill="1" applyBorder="1" applyAlignment="1">
      <alignment horizontal="center"/>
    </xf>
    <xf numFmtId="164" fontId="1" fillId="3" borderId="57" xfId="0" applyNumberFormat="1" applyFont="1" applyFill="1" applyBorder="1" applyAlignment="1">
      <alignment horizontal="center"/>
    </xf>
    <xf numFmtId="0" fontId="0" fillId="0" borderId="58" xfId="0" applyBorder="1"/>
    <xf numFmtId="49" fontId="12" fillId="4" borderId="3" xfId="0" applyNumberFormat="1" applyFont="1" applyFill="1" applyBorder="1" applyAlignment="1">
      <alignment horizontal="center"/>
    </xf>
    <xf numFmtId="49" fontId="12" fillId="4" borderId="9" xfId="0" applyNumberFormat="1" applyFont="1" applyFill="1" applyBorder="1" applyAlignment="1">
      <alignment horizontal="center"/>
    </xf>
    <xf numFmtId="164" fontId="14" fillId="3" borderId="46" xfId="0" applyNumberFormat="1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left" wrapText="1"/>
    </xf>
    <xf numFmtId="0" fontId="19" fillId="5" borderId="53" xfId="0" applyFont="1" applyFill="1" applyBorder="1" applyAlignment="1">
      <alignment horizontal="center" vertical="top" wrapText="1"/>
    </xf>
    <xf numFmtId="2" fontId="14" fillId="6" borderId="10" xfId="0" applyNumberFormat="1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 vertical="top" wrapText="1"/>
    </xf>
    <xf numFmtId="2" fontId="13" fillId="6" borderId="35" xfId="0" applyNumberFormat="1" applyFont="1" applyFill="1" applyBorder="1" applyAlignment="1">
      <alignment horizontal="right" vertical="center"/>
    </xf>
    <xf numFmtId="0" fontId="24" fillId="3" borderId="10" xfId="0" applyFont="1" applyFill="1" applyBorder="1" applyAlignment="1">
      <alignment horizontal="left" wrapText="1"/>
    </xf>
    <xf numFmtId="0" fontId="24" fillId="3" borderId="35" xfId="0" applyFont="1" applyFill="1" applyBorder="1" applyAlignment="1">
      <alignment horizontal="left" wrapText="1"/>
    </xf>
    <xf numFmtId="0" fontId="0" fillId="0" borderId="48" xfId="0" applyBorder="1"/>
    <xf numFmtId="0" fontId="0" fillId="0" borderId="0" xfId="0" applyAlignment="1">
      <alignment horizontal="left" wrapText="1"/>
    </xf>
    <xf numFmtId="0" fontId="0" fillId="3" borderId="21" xfId="0" applyFill="1" applyBorder="1" applyAlignment="1">
      <alignment horizontal="left" wrapText="1"/>
    </xf>
    <xf numFmtId="0" fontId="0" fillId="3" borderId="36" xfId="0" applyFill="1" applyBorder="1" applyAlignment="1">
      <alignment horizontal="left" wrapText="1"/>
    </xf>
    <xf numFmtId="164" fontId="13" fillId="4" borderId="62" xfId="0" applyNumberFormat="1" applyFont="1" applyFill="1" applyBorder="1" applyAlignment="1">
      <alignment horizontal="center" vertical="center"/>
    </xf>
    <xf numFmtId="164" fontId="14" fillId="4" borderId="21" xfId="0" applyNumberFormat="1" applyFont="1" applyFill="1" applyBorder="1" applyAlignment="1">
      <alignment horizontal="center" wrapText="1"/>
    </xf>
    <xf numFmtId="164" fontId="14" fillId="4" borderId="33" xfId="0" applyNumberFormat="1" applyFont="1" applyFill="1" applyBorder="1" applyAlignment="1">
      <alignment horizontal="center" wrapText="1"/>
    </xf>
    <xf numFmtId="0" fontId="0" fillId="3" borderId="63" xfId="0" applyFill="1" applyBorder="1" applyAlignment="1">
      <alignment horizontal="left" wrapText="1"/>
    </xf>
    <xf numFmtId="0" fontId="0" fillId="3" borderId="64" xfId="0" applyFill="1" applyBorder="1" applyAlignment="1">
      <alignment horizontal="left" wrapText="1"/>
    </xf>
    <xf numFmtId="49" fontId="12" fillId="4" borderId="55" xfId="0" applyNumberFormat="1" applyFont="1" applyFill="1" applyBorder="1" applyAlignment="1">
      <alignment horizontal="center"/>
    </xf>
    <xf numFmtId="49" fontId="12" fillId="4" borderId="32" xfId="0" applyNumberFormat="1" applyFont="1" applyFill="1" applyBorder="1" applyAlignment="1">
      <alignment horizontal="center"/>
    </xf>
    <xf numFmtId="0" fontId="23" fillId="4" borderId="31" xfId="0" applyFont="1" applyFill="1" applyBorder="1" applyAlignment="1">
      <alignment horizontal="right" vertical="top" wrapText="1"/>
    </xf>
    <xf numFmtId="0" fontId="22" fillId="4" borderId="32" xfId="0" applyFont="1" applyFill="1" applyBorder="1" applyAlignment="1">
      <alignment horizontal="right" vertical="top" wrapText="1"/>
    </xf>
    <xf numFmtId="2" fontId="14" fillId="4" borderId="33" xfId="0" applyNumberFormat="1" applyFont="1" applyFill="1" applyBorder="1" applyAlignment="1">
      <alignment horizontal="center"/>
    </xf>
    <xf numFmtId="164" fontId="13" fillId="4" borderId="54" xfId="0" applyNumberFormat="1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wrapText="1"/>
    </xf>
    <xf numFmtId="2" fontId="14" fillId="0" borderId="21" xfId="0" applyNumberFormat="1" applyFont="1" applyBorder="1" applyAlignment="1">
      <alignment horizontal="center" wrapText="1"/>
    </xf>
    <xf numFmtId="164" fontId="14" fillId="0" borderId="21" xfId="0" applyNumberFormat="1" applyFont="1" applyBorder="1" applyAlignment="1">
      <alignment horizontal="center" wrapText="1"/>
    </xf>
    <xf numFmtId="164" fontId="14" fillId="0" borderId="36" xfId="0" applyNumberFormat="1" applyFont="1" applyBorder="1" applyAlignment="1">
      <alignment horizontal="center" wrapText="1"/>
    </xf>
    <xf numFmtId="0" fontId="23" fillId="0" borderId="8" xfId="0" applyFont="1" applyBorder="1" applyAlignment="1">
      <alignment horizontal="right" wrapText="1"/>
    </xf>
    <xf numFmtId="0" fontId="23" fillId="0" borderId="9" xfId="0" applyFont="1" applyBorder="1" applyAlignment="1">
      <alignment horizontal="right" wrapText="1"/>
    </xf>
    <xf numFmtId="2" fontId="14" fillId="0" borderId="10" xfId="0" applyNumberFormat="1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165" fontId="14" fillId="4" borderId="10" xfId="0" applyNumberFormat="1" applyFont="1" applyFill="1" applyBorder="1" applyAlignment="1">
      <alignment horizontal="center"/>
    </xf>
    <xf numFmtId="164" fontId="14" fillId="0" borderId="27" xfId="0" applyNumberFormat="1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164" fontId="14" fillId="0" borderId="61" xfId="0" applyNumberFormat="1" applyFont="1" applyBorder="1" applyAlignment="1">
      <alignment horizontal="center" wrapText="1"/>
    </xf>
    <xf numFmtId="164" fontId="14" fillId="0" borderId="8" xfId="0" applyNumberFormat="1" applyFont="1" applyBorder="1" applyAlignment="1">
      <alignment horizontal="center" wrapText="1"/>
    </xf>
    <xf numFmtId="164" fontId="14" fillId="0" borderId="62" xfId="0" applyNumberFormat="1" applyFont="1" applyBorder="1" applyAlignment="1">
      <alignment horizontal="center" wrapText="1"/>
    </xf>
    <xf numFmtId="0" fontId="26" fillId="0" borderId="0" xfId="0" applyFont="1"/>
    <xf numFmtId="0" fontId="27" fillId="4" borderId="0" xfId="0" applyFont="1" applyFill="1"/>
    <xf numFmtId="0" fontId="28" fillId="5" borderId="6" xfId="0" applyFont="1" applyFill="1" applyBorder="1" applyAlignment="1">
      <alignment horizontal="center" vertical="top" wrapText="1"/>
    </xf>
    <xf numFmtId="0" fontId="28" fillId="5" borderId="6" xfId="0" applyFont="1" applyFill="1" applyBorder="1" applyAlignment="1">
      <alignment horizontal="center" vertical="top"/>
    </xf>
    <xf numFmtId="0" fontId="28" fillId="5" borderId="12" xfId="0" applyFont="1" applyFill="1" applyBorder="1" applyAlignment="1">
      <alignment horizontal="center" vertical="top" wrapText="1"/>
    </xf>
    <xf numFmtId="0" fontId="28" fillId="5" borderId="64" xfId="0" applyFont="1" applyFill="1" applyBorder="1" applyAlignment="1">
      <alignment horizontal="center" vertical="top"/>
    </xf>
    <xf numFmtId="49" fontId="28" fillId="4" borderId="34" xfId="0" applyNumberFormat="1" applyFont="1" applyFill="1" applyBorder="1" applyAlignment="1">
      <alignment horizontal="center"/>
    </xf>
    <xf numFmtId="49" fontId="28" fillId="4" borderId="14" xfId="0" applyNumberFormat="1" applyFont="1" applyFill="1" applyBorder="1" applyAlignment="1">
      <alignment horizontal="center"/>
    </xf>
    <xf numFmtId="164" fontId="30" fillId="4" borderId="10" xfId="0" applyNumberFormat="1" applyFont="1" applyFill="1" applyBorder="1" applyAlignment="1">
      <alignment horizontal="center"/>
    </xf>
    <xf numFmtId="164" fontId="31" fillId="4" borderId="36" xfId="0" applyNumberFormat="1" applyFont="1" applyFill="1" applyBorder="1" applyAlignment="1">
      <alignment horizontal="center" vertical="center"/>
    </xf>
    <xf numFmtId="164" fontId="30" fillId="4" borderId="21" xfId="0" applyNumberFormat="1" applyFont="1" applyFill="1" applyBorder="1" applyAlignment="1">
      <alignment horizontal="center"/>
    </xf>
    <xf numFmtId="164" fontId="31" fillId="4" borderId="38" xfId="0" applyNumberFormat="1" applyFont="1" applyFill="1" applyBorder="1" applyAlignment="1">
      <alignment horizontal="center" vertical="center"/>
    </xf>
    <xf numFmtId="2" fontId="30" fillId="4" borderId="21" xfId="0" applyNumberFormat="1" applyFont="1" applyFill="1" applyBorder="1" applyAlignment="1">
      <alignment horizontal="center"/>
    </xf>
    <xf numFmtId="2" fontId="30" fillId="4" borderId="22" xfId="0" applyNumberFormat="1" applyFont="1" applyFill="1" applyBorder="1" applyAlignment="1">
      <alignment horizontal="center"/>
    </xf>
    <xf numFmtId="164" fontId="30" fillId="4" borderId="22" xfId="0" applyNumberFormat="1" applyFont="1" applyFill="1" applyBorder="1" applyAlignment="1">
      <alignment horizontal="center"/>
    </xf>
    <xf numFmtId="164" fontId="31" fillId="4" borderId="37" xfId="0" applyNumberFormat="1" applyFont="1" applyFill="1" applyBorder="1" applyAlignment="1">
      <alignment horizontal="center" vertical="center"/>
    </xf>
    <xf numFmtId="2" fontId="30" fillId="4" borderId="10" xfId="0" applyNumberFormat="1" applyFont="1" applyFill="1" applyBorder="1" applyAlignment="1">
      <alignment horizontal="center"/>
    </xf>
    <xf numFmtId="164" fontId="34" fillId="4" borderId="10" xfId="0" applyNumberFormat="1" applyFont="1" applyFill="1" applyBorder="1" applyAlignment="1">
      <alignment horizontal="center"/>
    </xf>
    <xf numFmtId="164" fontId="31" fillId="4" borderId="35" xfId="0" applyNumberFormat="1" applyFont="1" applyFill="1" applyBorder="1" applyAlignment="1">
      <alignment horizontal="center" vertical="center"/>
    </xf>
    <xf numFmtId="164" fontId="34" fillId="4" borderId="36" xfId="0" applyNumberFormat="1" applyFont="1" applyFill="1" applyBorder="1" applyAlignment="1">
      <alignment horizontal="center" vertical="center"/>
    </xf>
    <xf numFmtId="164" fontId="33" fillId="4" borderId="21" xfId="0" applyNumberFormat="1" applyFont="1" applyFill="1" applyBorder="1" applyAlignment="1">
      <alignment horizontal="center"/>
    </xf>
    <xf numFmtId="164" fontId="34" fillId="4" borderId="36" xfId="0" applyNumberFormat="1" applyFont="1" applyFill="1" applyBorder="1" applyAlignment="1">
      <alignment horizontal="center"/>
    </xf>
    <xf numFmtId="2" fontId="30" fillId="4" borderId="33" xfId="0" applyNumberFormat="1" applyFont="1" applyFill="1" applyBorder="1" applyAlignment="1">
      <alignment horizontal="center"/>
    </xf>
    <xf numFmtId="164" fontId="33" fillId="4" borderId="33" xfId="0" applyNumberFormat="1" applyFont="1" applyFill="1" applyBorder="1" applyAlignment="1">
      <alignment horizontal="center"/>
    </xf>
    <xf numFmtId="164" fontId="34" fillId="4" borderId="66" xfId="0" applyNumberFormat="1" applyFont="1" applyFill="1" applyBorder="1" applyAlignment="1">
      <alignment horizontal="center" vertical="center"/>
    </xf>
    <xf numFmtId="2" fontId="30" fillId="3" borderId="45" xfId="0" applyNumberFormat="1" applyFont="1" applyFill="1" applyBorder="1" applyAlignment="1">
      <alignment horizontal="center"/>
    </xf>
    <xf numFmtId="164" fontId="30" fillId="3" borderId="46" xfId="0" applyNumberFormat="1" applyFont="1" applyFill="1" applyBorder="1" applyAlignment="1">
      <alignment horizontal="center"/>
    </xf>
    <xf numFmtId="164" fontId="36" fillId="5" borderId="6" xfId="0" applyNumberFormat="1" applyFont="1" applyFill="1" applyBorder="1" applyAlignment="1">
      <alignment horizontal="center" vertical="center"/>
    </xf>
    <xf numFmtId="49" fontId="32" fillId="4" borderId="0" xfId="0" applyNumberFormat="1" applyFont="1" applyFill="1" applyAlignment="1">
      <alignment horizontal="center"/>
    </xf>
    <xf numFmtId="0" fontId="35" fillId="4" borderId="0" xfId="0" applyFont="1" applyFill="1" applyAlignment="1">
      <alignment horizontal="right"/>
    </xf>
    <xf numFmtId="2" fontId="30" fillId="4" borderId="0" xfId="0" applyNumberFormat="1" applyFont="1" applyFill="1" applyAlignment="1">
      <alignment horizontal="center"/>
    </xf>
    <xf numFmtId="164" fontId="30" fillId="4" borderId="0" xfId="0" applyNumberFormat="1" applyFont="1" applyFill="1" applyAlignment="1">
      <alignment horizontal="center"/>
    </xf>
    <xf numFmtId="164" fontId="36" fillId="4" borderId="0" xfId="0" applyNumberFormat="1" applyFont="1" applyFill="1" applyAlignment="1">
      <alignment horizontal="center" vertical="center"/>
    </xf>
    <xf numFmtId="164" fontId="30" fillId="4" borderId="33" xfId="0" applyNumberFormat="1" applyFont="1" applyFill="1" applyBorder="1" applyAlignment="1">
      <alignment horizontal="center"/>
    </xf>
    <xf numFmtId="164" fontId="30" fillId="3" borderId="45" xfId="0" applyNumberFormat="1" applyFont="1" applyFill="1" applyBorder="1" applyAlignment="1">
      <alignment horizontal="center"/>
    </xf>
    <xf numFmtId="0" fontId="28" fillId="5" borderId="14" xfId="0" applyFont="1" applyFill="1" applyBorder="1" applyAlignment="1">
      <alignment horizontal="center" vertical="top" wrapText="1"/>
    </xf>
    <xf numFmtId="0" fontId="28" fillId="5" borderId="10" xfId="0" applyFont="1" applyFill="1" applyBorder="1" applyAlignment="1">
      <alignment horizontal="center" vertical="top" wrapText="1"/>
    </xf>
    <xf numFmtId="0" fontId="28" fillId="5" borderId="10" xfId="0" applyFont="1" applyFill="1" applyBorder="1" applyAlignment="1">
      <alignment horizontal="center" vertical="top"/>
    </xf>
    <xf numFmtId="49" fontId="28" fillId="4" borderId="3" xfId="0" applyNumberFormat="1" applyFont="1" applyFill="1" applyBorder="1" applyAlignment="1">
      <alignment horizontal="center"/>
    </xf>
    <xf numFmtId="49" fontId="28" fillId="4" borderId="9" xfId="0" applyNumberFormat="1" applyFont="1" applyFill="1" applyBorder="1" applyAlignment="1">
      <alignment horizontal="center"/>
    </xf>
    <xf numFmtId="0" fontId="26" fillId="0" borderId="58" xfId="0" applyFont="1" applyBorder="1"/>
    <xf numFmtId="0" fontId="27" fillId="3" borderId="30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 vertical="top" wrapText="1"/>
    </xf>
    <xf numFmtId="164" fontId="28" fillId="5" borderId="63" xfId="0" applyNumberFormat="1" applyFont="1" applyFill="1" applyBorder="1"/>
    <xf numFmtId="0" fontId="28" fillId="5" borderId="63" xfId="0" applyFont="1" applyFill="1" applyBorder="1"/>
    <xf numFmtId="0" fontId="28" fillId="5" borderId="64" xfId="0" applyFont="1" applyFill="1" applyBorder="1"/>
    <xf numFmtId="2" fontId="28" fillId="4" borderId="19" xfId="0" applyNumberFormat="1" applyFont="1" applyFill="1" applyBorder="1"/>
    <xf numFmtId="0" fontId="28" fillId="4" borderId="10" xfId="0" applyFont="1" applyFill="1" applyBorder="1"/>
    <xf numFmtId="0" fontId="28" fillId="4" borderId="35" xfId="0" applyFont="1" applyFill="1" applyBorder="1"/>
    <xf numFmtId="0" fontId="28" fillId="4" borderId="19" xfId="0" applyFont="1" applyFill="1" applyBorder="1" applyAlignment="1">
      <alignment horizontal="center"/>
    </xf>
    <xf numFmtId="2" fontId="28" fillId="4" borderId="19" xfId="0" applyNumberFormat="1" applyFont="1" applyFill="1" applyBorder="1" applyAlignment="1">
      <alignment horizontal="center"/>
    </xf>
    <xf numFmtId="164" fontId="28" fillId="4" borderId="19" xfId="0" applyNumberFormat="1" applyFont="1" applyFill="1" applyBorder="1" applyAlignment="1">
      <alignment horizontal="center"/>
    </xf>
    <xf numFmtId="164" fontId="36" fillId="4" borderId="35" xfId="0" applyNumberFormat="1" applyFont="1" applyFill="1" applyBorder="1" applyAlignment="1">
      <alignment horizontal="center" vertical="center"/>
    </xf>
    <xf numFmtId="2" fontId="28" fillId="4" borderId="27" xfId="0" applyNumberFormat="1" applyFont="1" applyFill="1" applyBorder="1" applyAlignment="1">
      <alignment horizontal="center"/>
    </xf>
    <xf numFmtId="2" fontId="30" fillId="4" borderId="20" xfId="0" applyNumberFormat="1" applyFont="1" applyFill="1" applyBorder="1" applyAlignment="1">
      <alignment horizontal="center"/>
    </xf>
    <xf numFmtId="2" fontId="30" fillId="4" borderId="42" xfId="0" applyNumberFormat="1" applyFont="1" applyFill="1" applyBorder="1" applyAlignment="1">
      <alignment horizontal="center"/>
    </xf>
    <xf numFmtId="0" fontId="28" fillId="3" borderId="44" xfId="0" applyFont="1" applyFill="1" applyBorder="1" applyAlignment="1">
      <alignment horizontal="center"/>
    </xf>
    <xf numFmtId="2" fontId="30" fillId="3" borderId="46" xfId="0" applyNumberFormat="1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5" borderId="10" xfId="0" applyFont="1" applyFill="1" applyBorder="1"/>
    <xf numFmtId="4" fontId="31" fillId="4" borderId="35" xfId="0" applyNumberFormat="1" applyFont="1" applyFill="1" applyBorder="1" applyAlignment="1">
      <alignment horizontal="right" vertical="center"/>
    </xf>
    <xf numFmtId="164" fontId="13" fillId="4" borderId="35" xfId="0" applyNumberFormat="1" applyFont="1" applyFill="1" applyBorder="1" applyAlignment="1">
      <alignment horizontal="center" vertical="center"/>
    </xf>
    <xf numFmtId="0" fontId="26" fillId="0" borderId="21" xfId="0" applyFont="1" applyBorder="1"/>
    <xf numFmtId="2" fontId="28" fillId="4" borderId="21" xfId="0" applyNumberFormat="1" applyFont="1" applyFill="1" applyBorder="1"/>
    <xf numFmtId="0" fontId="28" fillId="4" borderId="21" xfId="0" applyFont="1" applyFill="1" applyBorder="1"/>
    <xf numFmtId="164" fontId="37" fillId="4" borderId="36" xfId="0" applyNumberFormat="1" applyFont="1" applyFill="1" applyBorder="1" applyAlignment="1">
      <alignment horizontal="center" vertical="center"/>
    </xf>
    <xf numFmtId="164" fontId="37" fillId="4" borderId="38" xfId="0" applyNumberFormat="1" applyFont="1" applyFill="1" applyBorder="1" applyAlignment="1">
      <alignment horizontal="center" vertical="center"/>
    </xf>
    <xf numFmtId="164" fontId="37" fillId="4" borderId="37" xfId="0" applyNumberFormat="1" applyFont="1" applyFill="1" applyBorder="1" applyAlignment="1">
      <alignment horizontal="center" vertical="center"/>
    </xf>
    <xf numFmtId="164" fontId="37" fillId="7" borderId="21" xfId="0" applyNumberFormat="1" applyFont="1" applyFill="1" applyBorder="1" applyAlignment="1">
      <alignment horizontal="center"/>
    </xf>
    <xf numFmtId="2" fontId="37" fillId="7" borderId="22" xfId="0" applyNumberFormat="1" applyFont="1" applyFill="1" applyBorder="1" applyAlignment="1">
      <alignment horizontal="center"/>
    </xf>
    <xf numFmtId="164" fontId="37" fillId="7" borderId="22" xfId="0" applyNumberFormat="1" applyFont="1" applyFill="1" applyBorder="1" applyAlignment="1">
      <alignment horizontal="center"/>
    </xf>
    <xf numFmtId="2" fontId="33" fillId="7" borderId="10" xfId="0" applyNumberFormat="1" applyFont="1" applyFill="1" applyBorder="1" applyAlignment="1">
      <alignment horizontal="center"/>
    </xf>
    <xf numFmtId="2" fontId="14" fillId="7" borderId="10" xfId="0" applyNumberFormat="1" applyFont="1" applyFill="1" applyBorder="1" applyAlignment="1">
      <alignment horizontal="center"/>
    </xf>
    <xf numFmtId="164" fontId="34" fillId="7" borderId="10" xfId="0" applyNumberFormat="1" applyFont="1" applyFill="1" applyBorder="1" applyAlignment="1">
      <alignment horizontal="center"/>
    </xf>
    <xf numFmtId="2" fontId="30" fillId="4" borderId="10" xfId="0" applyNumberFormat="1" applyFont="1" applyFill="1" applyBorder="1" applyAlignment="1">
      <alignment horizontal="center" vertical="center"/>
    </xf>
    <xf numFmtId="164" fontId="30" fillId="4" borderId="10" xfId="0" applyNumberFormat="1" applyFont="1" applyFill="1" applyBorder="1" applyAlignment="1">
      <alignment horizontal="center" vertical="center"/>
    </xf>
    <xf numFmtId="49" fontId="32" fillId="4" borderId="75" xfId="0" applyNumberFormat="1" applyFont="1" applyFill="1" applyBorder="1" applyAlignment="1">
      <alignment horizontal="center"/>
    </xf>
    <xf numFmtId="0" fontId="35" fillId="4" borderId="75" xfId="0" applyFont="1" applyFill="1" applyBorder="1" applyAlignment="1">
      <alignment horizontal="right"/>
    </xf>
    <xf numFmtId="0" fontId="28" fillId="4" borderId="75" xfId="0" applyFont="1" applyFill="1" applyBorder="1" applyAlignment="1">
      <alignment horizontal="center"/>
    </xf>
    <xf numFmtId="2" fontId="30" fillId="4" borderId="75" xfId="0" applyNumberFormat="1" applyFont="1" applyFill="1" applyBorder="1" applyAlignment="1">
      <alignment horizontal="center"/>
    </xf>
    <xf numFmtId="164" fontId="36" fillId="4" borderId="75" xfId="0" applyNumberFormat="1" applyFont="1" applyFill="1" applyBorder="1" applyAlignment="1">
      <alignment horizontal="center" vertical="center"/>
    </xf>
    <xf numFmtId="164" fontId="28" fillId="5" borderId="10" xfId="0" applyNumberFormat="1" applyFont="1" applyFill="1" applyBorder="1"/>
    <xf numFmtId="0" fontId="26" fillId="4" borderId="0" xfId="0" applyFont="1" applyFill="1"/>
    <xf numFmtId="10" fontId="14" fillId="0" borderId="21" xfId="0" applyNumberFormat="1" applyFont="1" applyBorder="1" applyAlignment="1">
      <alignment horizontal="center" wrapText="1"/>
    </xf>
    <xf numFmtId="2" fontId="14" fillId="4" borderId="22" xfId="0" applyNumberFormat="1" applyFont="1" applyFill="1" applyBorder="1" applyAlignment="1">
      <alignment horizontal="center"/>
    </xf>
    <xf numFmtId="164" fontId="14" fillId="4" borderId="22" xfId="0" applyNumberFormat="1" applyFont="1" applyFill="1" applyBorder="1" applyAlignment="1">
      <alignment horizontal="center"/>
    </xf>
    <xf numFmtId="164" fontId="18" fillId="4" borderId="76" xfId="0" applyNumberFormat="1" applyFont="1" applyFill="1" applyBorder="1" applyAlignment="1">
      <alignment horizontal="center" vertical="center"/>
    </xf>
    <xf numFmtId="164" fontId="14" fillId="3" borderId="44" xfId="0" applyNumberFormat="1" applyFont="1" applyFill="1" applyBorder="1" applyAlignment="1">
      <alignment horizontal="center"/>
    </xf>
    <xf numFmtId="2" fontId="14" fillId="4" borderId="21" xfId="0" applyNumberFormat="1" applyFont="1" applyFill="1" applyBorder="1" applyAlignment="1">
      <alignment horizontal="center" wrapText="1"/>
    </xf>
    <xf numFmtId="164" fontId="18" fillId="4" borderId="62" xfId="0" applyNumberFormat="1" applyFont="1" applyFill="1" applyBorder="1" applyAlignment="1">
      <alignment horizontal="center" vertical="center"/>
    </xf>
    <xf numFmtId="2" fontId="0" fillId="0" borderId="1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0" xfId="0" applyNumberFormat="1"/>
    <xf numFmtId="2" fontId="0" fillId="0" borderId="2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49" fontId="16" fillId="4" borderId="0" xfId="0" applyNumberFormat="1" applyFont="1" applyFill="1" applyAlignment="1">
      <alignment horizontal="center"/>
    </xf>
    <xf numFmtId="0" fontId="17" fillId="4" borderId="0" xfId="0" applyFont="1" applyFill="1" applyAlignment="1">
      <alignment horizontal="right"/>
    </xf>
    <xf numFmtId="2" fontId="14" fillId="4" borderId="0" xfId="0" applyNumberFormat="1" applyFont="1" applyFill="1" applyAlignment="1">
      <alignment horizontal="center"/>
    </xf>
    <xf numFmtId="164" fontId="14" fillId="4" borderId="0" xfId="0" applyNumberFormat="1" applyFont="1" applyFill="1" applyAlignment="1">
      <alignment horizontal="center"/>
    </xf>
    <xf numFmtId="164" fontId="18" fillId="4" borderId="0" xfId="0" applyNumberFormat="1" applyFont="1" applyFill="1" applyAlignment="1">
      <alignment horizontal="center" vertical="center"/>
    </xf>
    <xf numFmtId="0" fontId="39" fillId="0" borderId="0" xfId="0" applyFont="1"/>
    <xf numFmtId="0" fontId="12" fillId="5" borderId="1" xfId="0" applyFont="1" applyFill="1" applyBorder="1" applyAlignment="1">
      <alignment horizontal="center" vertical="top" wrapText="1"/>
    </xf>
    <xf numFmtId="164" fontId="12" fillId="5" borderId="63" xfId="0" applyNumberFormat="1" applyFont="1" applyFill="1" applyBorder="1"/>
    <xf numFmtId="0" fontId="12" fillId="5" borderId="63" xfId="0" applyFont="1" applyFill="1" applyBorder="1"/>
    <xf numFmtId="0" fontId="12" fillId="5" borderId="64" xfId="0" applyFont="1" applyFill="1" applyBorder="1"/>
    <xf numFmtId="2" fontId="12" fillId="4" borderId="19" xfId="0" applyNumberFormat="1" applyFont="1" applyFill="1" applyBorder="1"/>
    <xf numFmtId="0" fontId="12" fillId="4" borderId="10" xfId="0" applyFont="1" applyFill="1" applyBorder="1"/>
    <xf numFmtId="0" fontId="12" fillId="4" borderId="35" xfId="0" applyFont="1" applyFill="1" applyBorder="1"/>
    <xf numFmtId="0" fontId="12" fillId="4" borderId="19" xfId="0" applyFont="1" applyFill="1" applyBorder="1" applyAlignment="1">
      <alignment horizontal="center"/>
    </xf>
    <xf numFmtId="2" fontId="12" fillId="4" borderId="19" xfId="0" applyNumberFormat="1" applyFont="1" applyFill="1" applyBorder="1" applyAlignment="1">
      <alignment horizontal="center"/>
    </xf>
    <xf numFmtId="164" fontId="12" fillId="4" borderId="19" xfId="0" applyNumberFormat="1" applyFont="1" applyFill="1" applyBorder="1" applyAlignment="1">
      <alignment horizontal="center"/>
    </xf>
    <xf numFmtId="164" fontId="18" fillId="4" borderId="35" xfId="0" applyNumberFormat="1" applyFont="1" applyFill="1" applyBorder="1" applyAlignment="1">
      <alignment horizontal="center" vertical="center"/>
    </xf>
    <xf numFmtId="2" fontId="12" fillId="4" borderId="27" xfId="0" applyNumberFormat="1" applyFont="1" applyFill="1" applyBorder="1" applyAlignment="1">
      <alignment horizontal="center"/>
    </xf>
    <xf numFmtId="2" fontId="14" fillId="4" borderId="42" xfId="0" applyNumberFormat="1" applyFont="1" applyFill="1" applyBorder="1" applyAlignment="1">
      <alignment horizontal="center"/>
    </xf>
    <xf numFmtId="0" fontId="12" fillId="3" borderId="44" xfId="0" applyFont="1" applyFill="1" applyBorder="1" applyAlignment="1">
      <alignment horizontal="center"/>
    </xf>
    <xf numFmtId="2" fontId="14" fillId="3" borderId="46" xfId="0" applyNumberFormat="1" applyFont="1" applyFill="1" applyBorder="1" applyAlignment="1">
      <alignment horizontal="center"/>
    </xf>
    <xf numFmtId="164" fontId="12" fillId="5" borderId="10" xfId="0" applyNumberFormat="1" applyFont="1" applyFill="1" applyBorder="1"/>
    <xf numFmtId="0" fontId="12" fillId="5" borderId="10" xfId="0" applyFont="1" applyFill="1" applyBorder="1"/>
    <xf numFmtId="2" fontId="12" fillId="4" borderId="21" xfId="0" applyNumberFormat="1" applyFont="1" applyFill="1" applyBorder="1"/>
    <xf numFmtId="0" fontId="12" fillId="4" borderId="21" xfId="0" applyFont="1" applyFill="1" applyBorder="1"/>
    <xf numFmtId="4" fontId="13" fillId="4" borderId="35" xfId="0" applyNumberFormat="1" applyFont="1" applyFill="1" applyBorder="1" applyAlignment="1">
      <alignment horizontal="right" vertical="center"/>
    </xf>
    <xf numFmtId="0" fontId="0" fillId="4" borderId="0" xfId="0" applyFill="1"/>
    <xf numFmtId="49" fontId="12" fillId="4" borderId="0" xfId="0" applyNumberFormat="1" applyFont="1" applyFill="1" applyAlignment="1">
      <alignment horizontal="center"/>
    </xf>
    <xf numFmtId="2" fontId="41" fillId="4" borderId="10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32" fillId="7" borderId="14" xfId="0" applyFont="1" applyFill="1" applyBorder="1" applyAlignment="1">
      <alignment horizontal="right"/>
    </xf>
    <xf numFmtId="0" fontId="28" fillId="4" borderId="8" xfId="0" applyFont="1" applyFill="1" applyBorder="1" applyAlignment="1">
      <alignment horizontal="right"/>
    </xf>
    <xf numFmtId="0" fontId="28" fillId="7" borderId="13" xfId="0" applyFont="1" applyFill="1" applyBorder="1" applyAlignment="1">
      <alignment horizontal="right"/>
    </xf>
    <xf numFmtId="0" fontId="12" fillId="5" borderId="6" xfId="0" applyFont="1" applyFill="1" applyBorder="1" applyAlignment="1">
      <alignment horizontal="center" vertical="center" wrapText="1"/>
    </xf>
    <xf numFmtId="49" fontId="28" fillId="4" borderId="60" xfId="0" applyNumberFormat="1" applyFont="1" applyFill="1" applyBorder="1" applyAlignment="1">
      <alignment horizontal="center"/>
    </xf>
    <xf numFmtId="49" fontId="28" fillId="4" borderId="59" xfId="0" applyNumberFormat="1" applyFont="1" applyFill="1" applyBorder="1" applyAlignment="1">
      <alignment horizontal="center"/>
    </xf>
    <xf numFmtId="0" fontId="12" fillId="7" borderId="3" xfId="0" applyFont="1" applyFill="1" applyBorder="1" applyAlignment="1">
      <alignment horizontal="right"/>
    </xf>
    <xf numFmtId="0" fontId="12" fillId="7" borderId="9" xfId="0" applyFont="1" applyFill="1" applyBorder="1" applyAlignment="1">
      <alignment horizontal="right"/>
    </xf>
    <xf numFmtId="49" fontId="12" fillId="5" borderId="12" xfId="0" applyNumberFormat="1" applyFont="1" applyFill="1" applyBorder="1" applyAlignment="1">
      <alignment horizontal="center" vertical="top" wrapText="1"/>
    </xf>
    <xf numFmtId="49" fontId="12" fillId="9" borderId="77" xfId="0" applyNumberFormat="1" applyFont="1" applyFill="1" applyBorder="1" applyAlignment="1">
      <alignment horizontal="center"/>
    </xf>
    <xf numFmtId="49" fontId="12" fillId="9" borderId="64" xfId="0" applyNumberFormat="1" applyFont="1" applyFill="1" applyBorder="1" applyAlignment="1">
      <alignment horizontal="center"/>
    </xf>
    <xf numFmtId="49" fontId="12" fillId="3" borderId="73" xfId="0" applyNumberFormat="1" applyFont="1" applyFill="1" applyBorder="1" applyAlignment="1">
      <alignment horizontal="center"/>
    </xf>
    <xf numFmtId="49" fontId="12" fillId="3" borderId="36" xfId="0" applyNumberFormat="1" applyFont="1" applyFill="1" applyBorder="1" applyAlignment="1">
      <alignment horizontal="center"/>
    </xf>
    <xf numFmtId="0" fontId="12" fillId="5" borderId="63" xfId="0" applyFont="1" applyFill="1" applyBorder="1" applyAlignment="1">
      <alignment horizontal="center" vertical="top" wrapText="1"/>
    </xf>
    <xf numFmtId="49" fontId="12" fillId="10" borderId="73" xfId="0" applyNumberFormat="1" applyFont="1" applyFill="1" applyBorder="1" applyAlignment="1">
      <alignment horizontal="center"/>
    </xf>
    <xf numFmtId="49" fontId="12" fillId="10" borderId="36" xfId="0" applyNumberFormat="1" applyFont="1" applyFill="1" applyBorder="1" applyAlignment="1">
      <alignment horizontal="center"/>
    </xf>
    <xf numFmtId="164" fontId="37" fillId="7" borderId="10" xfId="0" applyNumberFormat="1" applyFont="1" applyFill="1" applyBorder="1" applyAlignment="1">
      <alignment horizontal="center"/>
    </xf>
    <xf numFmtId="164" fontId="37" fillId="4" borderId="21" xfId="0" applyNumberFormat="1" applyFont="1" applyFill="1" applyBorder="1" applyAlignment="1">
      <alignment horizontal="center"/>
    </xf>
    <xf numFmtId="2" fontId="34" fillId="7" borderId="10" xfId="0" applyNumberFormat="1" applyFont="1" applyFill="1" applyBorder="1" applyAlignment="1">
      <alignment horizontal="center"/>
    </xf>
    <xf numFmtId="0" fontId="12" fillId="7" borderId="3" xfId="0" applyFont="1" applyFill="1" applyBorder="1"/>
    <xf numFmtId="49" fontId="12" fillId="11" borderId="69" xfId="0" applyNumberFormat="1" applyFont="1" applyFill="1" applyBorder="1" applyAlignment="1">
      <alignment horizontal="center"/>
    </xf>
    <xf numFmtId="49" fontId="28" fillId="11" borderId="70" xfId="0" applyNumberFormat="1" applyFont="1" applyFill="1" applyBorder="1" applyAlignment="1">
      <alignment horizontal="center"/>
    </xf>
    <xf numFmtId="2" fontId="33" fillId="11" borderId="10" xfId="0" applyNumberFormat="1" applyFont="1" applyFill="1" applyBorder="1" applyAlignment="1">
      <alignment horizontal="center"/>
    </xf>
    <xf numFmtId="2" fontId="14" fillId="11" borderId="10" xfId="0" applyNumberFormat="1" applyFont="1" applyFill="1" applyBorder="1" applyAlignment="1">
      <alignment horizontal="center"/>
    </xf>
    <xf numFmtId="2" fontId="34" fillId="11" borderId="10" xfId="0" applyNumberFormat="1" applyFont="1" applyFill="1" applyBorder="1" applyAlignment="1">
      <alignment horizontal="center"/>
    </xf>
    <xf numFmtId="0" fontId="20" fillId="4" borderId="9" xfId="0" applyFont="1" applyFill="1" applyBorder="1" applyAlignment="1">
      <alignment horizontal="right"/>
    </xf>
    <xf numFmtId="2" fontId="37" fillId="4" borderId="21" xfId="0" applyNumberFormat="1" applyFont="1" applyFill="1" applyBorder="1" applyAlignment="1">
      <alignment horizontal="center"/>
    </xf>
    <xf numFmtId="164" fontId="37" fillId="4" borderId="70" xfId="0" applyNumberFormat="1" applyFont="1" applyFill="1" applyBorder="1" applyAlignment="1">
      <alignment horizontal="center" vertical="center"/>
    </xf>
    <xf numFmtId="2" fontId="37" fillId="4" borderId="37" xfId="0" applyNumberFormat="1" applyFont="1" applyFill="1" applyBorder="1" applyAlignment="1">
      <alignment horizontal="center" vertical="center"/>
    </xf>
    <xf numFmtId="164" fontId="37" fillId="4" borderId="35" xfId="0" applyNumberFormat="1" applyFont="1" applyFill="1" applyBorder="1" applyAlignment="1">
      <alignment horizontal="center" vertical="center"/>
    </xf>
    <xf numFmtId="2" fontId="13" fillId="11" borderId="35" xfId="0" applyNumberFormat="1" applyFont="1" applyFill="1" applyBorder="1" applyAlignment="1">
      <alignment horizontal="center" vertical="center"/>
    </xf>
    <xf numFmtId="2" fontId="13" fillId="4" borderId="35" xfId="0" applyNumberFormat="1" applyFont="1" applyFill="1" applyBorder="1" applyAlignment="1">
      <alignment horizontal="center" vertical="center"/>
    </xf>
    <xf numFmtId="164" fontId="26" fillId="0" borderId="0" xfId="0" applyNumberFormat="1" applyFont="1"/>
    <xf numFmtId="49" fontId="0" fillId="0" borderId="67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0" fontId="43" fillId="0" borderId="0" xfId="0" applyFont="1"/>
    <xf numFmtId="164" fontId="37" fillId="3" borderId="21" xfId="0" applyNumberFormat="1" applyFont="1" applyFill="1" applyBorder="1" applyAlignment="1">
      <alignment horizontal="center"/>
    </xf>
    <xf numFmtId="164" fontId="37" fillId="3" borderId="22" xfId="0" applyNumberFormat="1" applyFont="1" applyFill="1" applyBorder="1" applyAlignment="1">
      <alignment horizontal="center"/>
    </xf>
    <xf numFmtId="10" fontId="34" fillId="4" borderId="10" xfId="0" applyNumberFormat="1" applyFont="1" applyFill="1" applyBorder="1" applyAlignment="1">
      <alignment horizontal="center"/>
    </xf>
    <xf numFmtId="10" fontId="34" fillId="4" borderId="21" xfId="0" applyNumberFormat="1" applyFont="1" applyFill="1" applyBorder="1" applyAlignment="1">
      <alignment horizontal="center"/>
    </xf>
    <xf numFmtId="10" fontId="33" fillId="4" borderId="33" xfId="0" applyNumberFormat="1" applyFont="1" applyFill="1" applyBorder="1" applyAlignment="1">
      <alignment horizontal="center"/>
    </xf>
    <xf numFmtId="0" fontId="12" fillId="7" borderId="4" xfId="0" applyFont="1" applyFill="1" applyBorder="1" applyAlignment="1">
      <alignment wrapText="1"/>
    </xf>
    <xf numFmtId="0" fontId="28" fillId="7" borderId="9" xfId="0" applyFont="1" applyFill="1" applyBorder="1" applyAlignment="1">
      <alignment wrapText="1"/>
    </xf>
    <xf numFmtId="0" fontId="12" fillId="7" borderId="9" xfId="0" applyFont="1" applyFill="1" applyBorder="1"/>
    <xf numFmtId="0" fontId="12" fillId="7" borderId="4" xfId="0" applyFont="1" applyFill="1" applyBorder="1"/>
    <xf numFmtId="0" fontId="28" fillId="7" borderId="9" xfId="0" applyFont="1" applyFill="1" applyBorder="1"/>
    <xf numFmtId="0" fontId="4" fillId="4" borderId="0" xfId="0" applyFont="1" applyFill="1"/>
    <xf numFmtId="164" fontId="37" fillId="4" borderId="22" xfId="0" applyNumberFormat="1" applyFont="1" applyFill="1" applyBorder="1" applyAlignment="1">
      <alignment horizontal="center"/>
    </xf>
    <xf numFmtId="49" fontId="12" fillId="12" borderId="67" xfId="0" applyNumberFormat="1" applyFont="1" applyFill="1" applyBorder="1" applyAlignment="1">
      <alignment horizontal="center"/>
    </xf>
    <xf numFmtId="49" fontId="28" fillId="12" borderId="35" xfId="0" applyNumberFormat="1" applyFont="1" applyFill="1" applyBorder="1" applyAlignment="1">
      <alignment horizontal="center"/>
    </xf>
    <xf numFmtId="164" fontId="37" fillId="12" borderId="10" xfId="0" applyNumberFormat="1" applyFont="1" applyFill="1" applyBorder="1" applyAlignment="1">
      <alignment horizontal="center"/>
    </xf>
    <xf numFmtId="164" fontId="37" fillId="12" borderId="35" xfId="0" applyNumberFormat="1" applyFont="1" applyFill="1" applyBorder="1" applyAlignment="1">
      <alignment horizontal="center" vertical="center"/>
    </xf>
    <xf numFmtId="164" fontId="37" fillId="12" borderId="21" xfId="0" applyNumberFormat="1" applyFont="1" applyFill="1" applyBorder="1" applyAlignment="1">
      <alignment horizontal="center"/>
    </xf>
    <xf numFmtId="164" fontId="34" fillId="12" borderId="10" xfId="0" applyNumberFormat="1" applyFont="1" applyFill="1" applyBorder="1" applyAlignment="1">
      <alignment horizontal="center"/>
    </xf>
    <xf numFmtId="2" fontId="34" fillId="12" borderId="10" xfId="0" applyNumberFormat="1" applyFont="1" applyFill="1" applyBorder="1" applyAlignment="1">
      <alignment horizontal="center"/>
    </xf>
    <xf numFmtId="49" fontId="12" fillId="13" borderId="73" xfId="0" applyNumberFormat="1" applyFont="1" applyFill="1" applyBorder="1" applyAlignment="1">
      <alignment horizontal="center"/>
    </xf>
    <xf numFmtId="49" fontId="28" fillId="13" borderId="36" xfId="0" applyNumberFormat="1" applyFont="1" applyFill="1" applyBorder="1" applyAlignment="1">
      <alignment horizontal="center"/>
    </xf>
    <xf numFmtId="164" fontId="37" fillId="13" borderId="21" xfId="0" applyNumberFormat="1" applyFont="1" applyFill="1" applyBorder="1" applyAlignment="1">
      <alignment horizontal="center"/>
    </xf>
    <xf numFmtId="164" fontId="37" fillId="13" borderId="36" xfId="0" applyNumberFormat="1" applyFont="1" applyFill="1" applyBorder="1" applyAlignment="1">
      <alignment horizontal="center" vertical="center"/>
    </xf>
    <xf numFmtId="49" fontId="12" fillId="13" borderId="36" xfId="0" applyNumberFormat="1" applyFont="1" applyFill="1" applyBorder="1" applyAlignment="1">
      <alignment horizontal="center"/>
    </xf>
    <xf numFmtId="0" fontId="12" fillId="13" borderId="3" xfId="0" applyFont="1" applyFill="1" applyBorder="1" applyAlignment="1">
      <alignment wrapText="1"/>
    </xf>
    <xf numFmtId="0" fontId="12" fillId="13" borderId="9" xfId="0" applyFont="1" applyFill="1" applyBorder="1" applyAlignment="1">
      <alignment wrapText="1"/>
    </xf>
    <xf numFmtId="164" fontId="37" fillId="13" borderId="9" xfId="0" applyNumberFormat="1" applyFont="1" applyFill="1" applyBorder="1" applyAlignment="1">
      <alignment horizontal="center"/>
    </xf>
    <xf numFmtId="2" fontId="37" fillId="13" borderId="21" xfId="0" applyNumberFormat="1" applyFont="1" applyFill="1" applyBorder="1" applyAlignment="1">
      <alignment horizontal="center"/>
    </xf>
    <xf numFmtId="164" fontId="37" fillId="13" borderId="25" xfId="0" applyNumberFormat="1" applyFont="1" applyFill="1" applyBorder="1" applyAlignment="1">
      <alignment horizontal="center"/>
    </xf>
    <xf numFmtId="164" fontId="37" fillId="13" borderId="22" xfId="0" applyNumberFormat="1" applyFont="1" applyFill="1" applyBorder="1" applyAlignment="1">
      <alignment horizontal="center"/>
    </xf>
    <xf numFmtId="2" fontId="37" fillId="13" borderId="22" xfId="0" applyNumberFormat="1" applyFont="1" applyFill="1" applyBorder="1" applyAlignment="1">
      <alignment horizontal="center"/>
    </xf>
    <xf numFmtId="2" fontId="37" fillId="13" borderId="37" xfId="0" applyNumberFormat="1" applyFont="1" applyFill="1" applyBorder="1" applyAlignment="1">
      <alignment horizontal="center" vertical="center"/>
    </xf>
    <xf numFmtId="164" fontId="37" fillId="13" borderId="37" xfId="0" applyNumberFormat="1" applyFont="1" applyFill="1" applyBorder="1" applyAlignment="1">
      <alignment horizontal="center" vertical="center"/>
    </xf>
    <xf numFmtId="0" fontId="16" fillId="13" borderId="3" xfId="0" applyFont="1" applyFill="1" applyBorder="1"/>
    <xf numFmtId="164" fontId="16" fillId="13" borderId="14" xfId="0" applyNumberFormat="1" applyFont="1" applyFill="1" applyBorder="1"/>
    <xf numFmtId="164" fontId="34" fillId="13" borderId="10" xfId="0" applyNumberFormat="1" applyFont="1" applyFill="1" applyBorder="1" applyAlignment="1">
      <alignment horizontal="center"/>
    </xf>
    <xf numFmtId="164" fontId="37" fillId="13" borderId="10" xfId="0" applyNumberFormat="1" applyFont="1" applyFill="1" applyBorder="1" applyAlignment="1">
      <alignment horizontal="center"/>
    </xf>
    <xf numFmtId="2" fontId="37" fillId="13" borderId="35" xfId="0" applyNumberFormat="1" applyFont="1" applyFill="1" applyBorder="1" applyAlignment="1">
      <alignment horizontal="center" vertical="center"/>
    </xf>
    <xf numFmtId="49" fontId="12" fillId="13" borderId="71" xfId="0" applyNumberFormat="1" applyFont="1" applyFill="1" applyBorder="1" applyAlignment="1">
      <alignment horizontal="center"/>
    </xf>
    <xf numFmtId="49" fontId="28" fillId="13" borderId="37" xfId="0" applyNumberFormat="1" applyFont="1" applyFill="1" applyBorder="1" applyAlignment="1">
      <alignment horizontal="center"/>
    </xf>
    <xf numFmtId="0" fontId="16" fillId="13" borderId="78" xfId="0" applyFont="1" applyFill="1" applyBorder="1" applyAlignment="1">
      <alignment horizontal="center"/>
    </xf>
    <xf numFmtId="0" fontId="16" fillId="13" borderId="25" xfId="0" applyFont="1" applyFill="1" applyBorder="1" applyAlignment="1">
      <alignment horizontal="center"/>
    </xf>
    <xf numFmtId="164" fontId="34" fillId="13" borderId="22" xfId="0" applyNumberFormat="1" applyFont="1" applyFill="1" applyBorder="1" applyAlignment="1">
      <alignment horizontal="center"/>
    </xf>
    <xf numFmtId="49" fontId="12" fillId="13" borderId="69" xfId="0" applyNumberFormat="1" applyFont="1" applyFill="1" applyBorder="1" applyAlignment="1">
      <alignment horizontal="center"/>
    </xf>
    <xf numFmtId="49" fontId="28" fillId="13" borderId="70" xfId="0" applyNumberFormat="1" applyFont="1" applyFill="1" applyBorder="1" applyAlignment="1">
      <alignment horizontal="center"/>
    </xf>
    <xf numFmtId="0" fontId="12" fillId="13" borderId="3" xfId="0" applyFont="1" applyFill="1" applyBorder="1"/>
    <xf numFmtId="0" fontId="12" fillId="13" borderId="9" xfId="0" applyFont="1" applyFill="1" applyBorder="1"/>
    <xf numFmtId="2" fontId="37" fillId="13" borderId="10" xfId="0" applyNumberFormat="1" applyFont="1" applyFill="1" applyBorder="1" applyAlignment="1">
      <alignment horizontal="center"/>
    </xf>
    <xf numFmtId="0" fontId="16" fillId="13" borderId="3" xfId="0" applyFont="1" applyFill="1" applyBorder="1" applyAlignment="1">
      <alignment horizontal="center"/>
    </xf>
    <xf numFmtId="0" fontId="16" fillId="13" borderId="9" xfId="0" applyFont="1" applyFill="1" applyBorder="1" applyAlignment="1">
      <alignment horizontal="center"/>
    </xf>
    <xf numFmtId="164" fontId="34" fillId="13" borderId="20" xfId="0" applyNumberFormat="1" applyFont="1" applyFill="1" applyBorder="1" applyAlignment="1">
      <alignment horizontal="center"/>
    </xf>
    <xf numFmtId="164" fontId="37" fillId="13" borderId="20" xfId="0" applyNumberFormat="1" applyFont="1" applyFill="1" applyBorder="1" applyAlignment="1">
      <alignment horizontal="center"/>
    </xf>
    <xf numFmtId="2" fontId="34" fillId="13" borderId="20" xfId="0" applyNumberFormat="1" applyFont="1" applyFill="1" applyBorder="1" applyAlignment="1">
      <alignment horizontal="center"/>
    </xf>
    <xf numFmtId="2" fontId="37" fillId="13" borderId="70" xfId="0" applyNumberFormat="1" applyFont="1" applyFill="1" applyBorder="1" applyAlignment="1">
      <alignment horizontal="center" vertical="center"/>
    </xf>
    <xf numFmtId="164" fontId="37" fillId="13" borderId="70" xfId="0" applyNumberFormat="1" applyFont="1" applyFill="1" applyBorder="1" applyAlignment="1">
      <alignment horizontal="center" vertical="center"/>
    </xf>
    <xf numFmtId="49" fontId="12" fillId="12" borderId="73" xfId="0" applyNumberFormat="1" applyFont="1" applyFill="1" applyBorder="1" applyAlignment="1">
      <alignment horizontal="center"/>
    </xf>
    <xf numFmtId="49" fontId="28" fillId="12" borderId="36" xfId="0" applyNumberFormat="1" applyFont="1" applyFill="1" applyBorder="1" applyAlignment="1">
      <alignment horizontal="center"/>
    </xf>
    <xf numFmtId="164" fontId="37" fillId="12" borderId="36" xfId="0" applyNumberFormat="1" applyFont="1" applyFill="1" applyBorder="1" applyAlignment="1">
      <alignment horizontal="center" vertical="center"/>
    </xf>
    <xf numFmtId="49" fontId="12" fillId="12" borderId="79" xfId="0" applyNumberFormat="1" applyFont="1" applyFill="1" applyBorder="1" applyAlignment="1">
      <alignment horizontal="center"/>
    </xf>
    <xf numFmtId="49" fontId="28" fillId="12" borderId="80" xfId="0" applyNumberFormat="1" applyFont="1" applyFill="1" applyBorder="1" applyAlignment="1">
      <alignment horizontal="center"/>
    </xf>
    <xf numFmtId="2" fontId="37" fillId="12" borderId="19" xfId="0" applyNumberFormat="1" applyFont="1" applyFill="1" applyBorder="1" applyAlignment="1">
      <alignment horizontal="center" vertical="center"/>
    </xf>
    <xf numFmtId="10" fontId="30" fillId="4" borderId="22" xfId="0" applyNumberFormat="1" applyFont="1" applyFill="1" applyBorder="1" applyAlignment="1">
      <alignment horizontal="center"/>
    </xf>
    <xf numFmtId="0" fontId="16" fillId="13" borderId="60" xfId="0" applyFont="1" applyFill="1" applyBorder="1" applyAlignment="1">
      <alignment horizontal="center"/>
    </xf>
    <xf numFmtId="0" fontId="16" fillId="13" borderId="59" xfId="0" applyFont="1" applyFill="1" applyBorder="1" applyAlignment="1">
      <alignment horizontal="center"/>
    </xf>
    <xf numFmtId="2" fontId="37" fillId="13" borderId="20" xfId="0" applyNumberFormat="1" applyFont="1" applyFill="1" applyBorder="1" applyAlignment="1">
      <alignment horizontal="center"/>
    </xf>
    <xf numFmtId="0" fontId="12" fillId="13" borderId="3" xfId="0" applyFont="1" applyFill="1" applyBorder="1" applyAlignment="1">
      <alignment horizontal="right"/>
    </xf>
    <xf numFmtId="0" fontId="12" fillId="13" borderId="9" xfId="0" applyFont="1" applyFill="1" applyBorder="1" applyAlignment="1">
      <alignment horizontal="right"/>
    </xf>
    <xf numFmtId="164" fontId="37" fillId="13" borderId="27" xfId="0" applyNumberFormat="1" applyFont="1" applyFill="1" applyBorder="1" applyAlignment="1">
      <alignment horizontal="center" vertical="center"/>
    </xf>
    <xf numFmtId="164" fontId="37" fillId="13" borderId="19" xfId="0" applyNumberFormat="1" applyFont="1" applyFill="1" applyBorder="1" applyAlignment="1">
      <alignment horizontal="center" vertical="center"/>
    </xf>
    <xf numFmtId="0" fontId="12" fillId="13" borderId="34" xfId="0" applyFont="1" applyFill="1" applyBorder="1" applyAlignment="1">
      <alignment horizontal="right"/>
    </xf>
    <xf numFmtId="0" fontId="12" fillId="13" borderId="14" xfId="0" applyFont="1" applyFill="1" applyBorder="1" applyAlignment="1">
      <alignment horizontal="right"/>
    </xf>
    <xf numFmtId="0" fontId="12" fillId="4" borderId="0" xfId="0" applyFont="1" applyFill="1" applyAlignment="1">
      <alignment horizontal="center"/>
    </xf>
    <xf numFmtId="0" fontId="12" fillId="4" borderId="8" xfId="0" applyFont="1" applyFill="1" applyBorder="1" applyAlignment="1">
      <alignment horizontal="right" wrapText="1"/>
    </xf>
    <xf numFmtId="0" fontId="12" fillId="4" borderId="19" xfId="0" applyFont="1" applyFill="1" applyBorder="1" applyAlignment="1">
      <alignment horizontal="right"/>
    </xf>
    <xf numFmtId="2" fontId="12" fillId="4" borderId="9" xfId="0" applyNumberFormat="1" applyFont="1" applyFill="1" applyBorder="1" applyAlignment="1">
      <alignment horizontal="right" wrapText="1"/>
    </xf>
    <xf numFmtId="0" fontId="12" fillId="4" borderId="9" xfId="0" applyFont="1" applyFill="1" applyBorder="1" applyAlignment="1">
      <alignment horizontal="right" wrapText="1"/>
    </xf>
    <xf numFmtId="0" fontId="12" fillId="4" borderId="8" xfId="0" applyFont="1" applyFill="1" applyBorder="1" applyAlignment="1">
      <alignment horizontal="right"/>
    </xf>
    <xf numFmtId="0" fontId="12" fillId="4" borderId="9" xfId="0" applyFont="1" applyFill="1" applyBorder="1" applyAlignment="1">
      <alignment horizontal="right"/>
    </xf>
    <xf numFmtId="0" fontId="12" fillId="4" borderId="14" xfId="0" applyFont="1" applyFill="1" applyBorder="1" applyAlignment="1">
      <alignment horizontal="right"/>
    </xf>
    <xf numFmtId="49" fontId="12" fillId="4" borderId="9" xfId="0" applyNumberFormat="1" applyFont="1" applyFill="1" applyBorder="1" applyAlignment="1">
      <alignment horizontal="center" wrapText="1"/>
    </xf>
    <xf numFmtId="0" fontId="12" fillId="4" borderId="27" xfId="0" applyFont="1" applyFill="1" applyBorder="1" applyAlignment="1">
      <alignment horizontal="right" wrapText="1"/>
    </xf>
    <xf numFmtId="0" fontId="12" fillId="4" borderId="59" xfId="0" applyFont="1" applyFill="1" applyBorder="1" applyAlignment="1">
      <alignment horizontal="right" wrapText="1"/>
    </xf>
    <xf numFmtId="164" fontId="39" fillId="0" borderId="0" xfId="0" applyNumberFormat="1" applyFont="1" applyAlignment="1">
      <alignment horizontal="center" vertical="center"/>
    </xf>
    <xf numFmtId="49" fontId="32" fillId="4" borderId="58" xfId="0" applyNumberFormat="1" applyFont="1" applyFill="1" applyBorder="1" applyAlignment="1">
      <alignment horizontal="center"/>
    </xf>
    <xf numFmtId="0" fontId="35" fillId="4" borderId="58" xfId="0" applyFont="1" applyFill="1" applyBorder="1" applyAlignment="1">
      <alignment horizontal="right"/>
    </xf>
    <xf numFmtId="0" fontId="28" fillId="4" borderId="58" xfId="0" applyFont="1" applyFill="1" applyBorder="1" applyAlignment="1">
      <alignment horizontal="center"/>
    </xf>
    <xf numFmtId="2" fontId="30" fillId="4" borderId="58" xfId="0" applyNumberFormat="1" applyFont="1" applyFill="1" applyBorder="1" applyAlignment="1">
      <alignment horizontal="center"/>
    </xf>
    <xf numFmtId="164" fontId="36" fillId="4" borderId="58" xfId="0" applyNumberFormat="1" applyFont="1" applyFill="1" applyBorder="1" applyAlignment="1">
      <alignment horizontal="center" vertical="center"/>
    </xf>
    <xf numFmtId="49" fontId="32" fillId="3" borderId="0" xfId="0" applyNumberFormat="1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2" fontId="30" fillId="3" borderId="0" xfId="0" applyNumberFormat="1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10" fillId="2" borderId="1" xfId="0" applyFont="1" applyFill="1" applyBorder="1" applyAlignment="1">
      <alignment horizontal="center"/>
    </xf>
    <xf numFmtId="49" fontId="0" fillId="0" borderId="81" xfId="0" applyNumberFormat="1" applyBorder="1" applyAlignment="1">
      <alignment horizontal="center"/>
    </xf>
    <xf numFmtId="49" fontId="0" fillId="0" borderId="68" xfId="0" applyNumberFormat="1" applyBorder="1" applyAlignment="1">
      <alignment horizontal="center"/>
    </xf>
    <xf numFmtId="49" fontId="0" fillId="0" borderId="82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2" fontId="1" fillId="4" borderId="0" xfId="0" applyNumberFormat="1" applyFont="1" applyFill="1"/>
    <xf numFmtId="164" fontId="14" fillId="4" borderId="20" xfId="0" applyNumberFormat="1" applyFont="1" applyFill="1" applyBorder="1" applyAlignment="1">
      <alignment horizontal="center"/>
    </xf>
    <xf numFmtId="10" fontId="37" fillId="4" borderId="70" xfId="0" applyNumberFormat="1" applyFont="1" applyFill="1" applyBorder="1" applyAlignment="1">
      <alignment horizontal="center" vertical="center"/>
    </xf>
    <xf numFmtId="10" fontId="37" fillId="4" borderId="35" xfId="0" applyNumberFormat="1" applyFont="1" applyFill="1" applyBorder="1" applyAlignment="1">
      <alignment horizontal="center" vertical="center"/>
    </xf>
    <xf numFmtId="10" fontId="37" fillId="13" borderId="35" xfId="0" applyNumberFormat="1" applyFont="1" applyFill="1" applyBorder="1" applyAlignment="1">
      <alignment horizontal="center" vertical="center"/>
    </xf>
    <xf numFmtId="10" fontId="37" fillId="13" borderId="36" xfId="0" applyNumberFormat="1" applyFont="1" applyFill="1" applyBorder="1" applyAlignment="1">
      <alignment horizontal="center" vertical="center"/>
    </xf>
    <xf numFmtId="0" fontId="23" fillId="4" borderId="19" xfId="0" applyFont="1" applyFill="1" applyBorder="1" applyAlignment="1">
      <alignment horizontal="right" wrapText="1"/>
    </xf>
    <xf numFmtId="0" fontId="16" fillId="4" borderId="14" xfId="0" applyFont="1" applyFill="1" applyBorder="1" applyAlignment="1">
      <alignment horizontal="right" wrapText="1"/>
    </xf>
    <xf numFmtId="49" fontId="23" fillId="4" borderId="8" xfId="0" applyNumberFormat="1" applyFont="1" applyFill="1" applyBorder="1" applyAlignment="1">
      <alignment horizontal="right" vertical="top" wrapText="1"/>
    </xf>
    <xf numFmtId="49" fontId="12" fillId="4" borderId="60" xfId="0" applyNumberFormat="1" applyFont="1" applyFill="1" applyBorder="1" applyAlignment="1">
      <alignment horizontal="center"/>
    </xf>
    <xf numFmtId="49" fontId="12" fillId="4" borderId="59" xfId="0" applyNumberFormat="1" applyFont="1" applyFill="1" applyBorder="1" applyAlignment="1">
      <alignment horizontal="center"/>
    </xf>
    <xf numFmtId="0" fontId="23" fillId="4" borderId="27" xfId="0" applyFont="1" applyFill="1" applyBorder="1" applyAlignment="1">
      <alignment horizontal="right" wrapText="1"/>
    </xf>
    <xf numFmtId="0" fontId="23" fillId="4" borderId="59" xfId="0" applyFont="1" applyFill="1" applyBorder="1" applyAlignment="1">
      <alignment horizontal="right" wrapText="1"/>
    </xf>
    <xf numFmtId="164" fontId="14" fillId="4" borderId="27" xfId="0" applyNumberFormat="1" applyFont="1" applyFill="1" applyBorder="1" applyAlignment="1">
      <alignment horizontal="center"/>
    </xf>
    <xf numFmtId="164" fontId="13" fillId="4" borderId="61" xfId="0" applyNumberFormat="1" applyFont="1" applyFill="1" applyBorder="1" applyAlignment="1">
      <alignment horizontal="center" vertical="center"/>
    </xf>
    <xf numFmtId="2" fontId="14" fillId="4" borderId="19" xfId="0" applyNumberFormat="1" applyFont="1" applyFill="1" applyBorder="1" applyAlignment="1">
      <alignment horizontal="center"/>
    </xf>
    <xf numFmtId="0" fontId="23" fillId="4" borderId="19" xfId="0" applyFont="1" applyFill="1" applyBorder="1" applyAlignment="1">
      <alignment vertical="top" wrapText="1"/>
    </xf>
    <xf numFmtId="49" fontId="23" fillId="4" borderId="14" xfId="0" applyNumberFormat="1" applyFont="1" applyFill="1" applyBorder="1" applyAlignment="1">
      <alignment horizontal="right" vertical="top" wrapText="1"/>
    </xf>
    <xf numFmtId="49" fontId="12" fillId="4" borderId="9" xfId="0" applyNumberFormat="1" applyFont="1" applyFill="1" applyBorder="1" applyAlignment="1">
      <alignment horizontal="right" wrapText="1"/>
    </xf>
    <xf numFmtId="164" fontId="14" fillId="4" borderId="8" xfId="0" applyNumberFormat="1" applyFont="1" applyFill="1" applyBorder="1" applyAlignment="1">
      <alignment horizontal="center"/>
    </xf>
    <xf numFmtId="2" fontId="33" fillId="3" borderId="6" xfId="0" applyNumberFormat="1" applyFont="1" applyFill="1" applyBorder="1" applyAlignment="1">
      <alignment horizontal="center"/>
    </xf>
    <xf numFmtId="0" fontId="0" fillId="4" borderId="58" xfId="0" applyFill="1" applyBorder="1"/>
    <xf numFmtId="49" fontId="16" fillId="4" borderId="58" xfId="0" applyNumberFormat="1" applyFont="1" applyFill="1" applyBorder="1" applyAlignment="1">
      <alignment horizontal="center"/>
    </xf>
    <xf numFmtId="0" fontId="17" fillId="4" borderId="58" xfId="0" applyFont="1" applyFill="1" applyBorder="1" applyAlignment="1">
      <alignment horizontal="right"/>
    </xf>
    <xf numFmtId="2" fontId="14" fillId="4" borderId="58" xfId="0" applyNumberFormat="1" applyFont="1" applyFill="1" applyBorder="1" applyAlignment="1">
      <alignment horizontal="center"/>
    </xf>
    <xf numFmtId="164" fontId="14" fillId="4" borderId="58" xfId="0" applyNumberFormat="1" applyFont="1" applyFill="1" applyBorder="1" applyAlignment="1">
      <alignment horizontal="center"/>
    </xf>
    <xf numFmtId="164" fontId="18" fillId="4" borderId="58" xfId="0" applyNumberFormat="1" applyFont="1" applyFill="1" applyBorder="1" applyAlignment="1">
      <alignment horizontal="center" vertical="center"/>
    </xf>
    <xf numFmtId="49" fontId="12" fillId="4" borderId="14" xfId="0" applyNumberFormat="1" applyFont="1" applyFill="1" applyBorder="1" applyAlignment="1">
      <alignment horizontal="right" wrapText="1"/>
    </xf>
    <xf numFmtId="49" fontId="12" fillId="4" borderId="9" xfId="0" applyNumberFormat="1" applyFont="1" applyFill="1" applyBorder="1" applyAlignment="1">
      <alignment horizontal="right"/>
    </xf>
    <xf numFmtId="49" fontId="23" fillId="4" borderId="8" xfId="0" applyNumberFormat="1" applyFont="1" applyFill="1" applyBorder="1" applyAlignment="1">
      <alignment vertical="top" wrapText="1"/>
    </xf>
    <xf numFmtId="49" fontId="23" fillId="4" borderId="9" xfId="0" applyNumberFormat="1" applyFont="1" applyFill="1" applyBorder="1" applyAlignment="1">
      <alignment vertical="top" wrapText="1"/>
    </xf>
    <xf numFmtId="49" fontId="23" fillId="4" borderId="8" xfId="0" applyNumberFormat="1" applyFont="1" applyFill="1" applyBorder="1" applyAlignment="1">
      <alignment horizontal="center" vertical="top" wrapText="1"/>
    </xf>
    <xf numFmtId="49" fontId="23" fillId="4" borderId="9" xfId="0" applyNumberFormat="1" applyFont="1" applyFill="1" applyBorder="1" applyAlignment="1">
      <alignment horizontal="center" vertical="top" wrapText="1"/>
    </xf>
    <xf numFmtId="0" fontId="23" fillId="0" borderId="8" xfId="0" applyFont="1" applyBorder="1" applyAlignment="1">
      <alignment wrapText="1"/>
    </xf>
    <xf numFmtId="0" fontId="23" fillId="0" borderId="9" xfId="0" applyFont="1" applyBorder="1" applyAlignment="1">
      <alignment wrapText="1"/>
    </xf>
    <xf numFmtId="2" fontId="14" fillId="0" borderId="20" xfId="0" applyNumberFormat="1" applyFont="1" applyBorder="1" applyAlignment="1">
      <alignment horizontal="center" wrapText="1"/>
    </xf>
    <xf numFmtId="0" fontId="23" fillId="4" borderId="32" xfId="0" applyFont="1" applyFill="1" applyBorder="1" applyAlignment="1">
      <alignment horizontal="right" vertical="top" wrapText="1"/>
    </xf>
    <xf numFmtId="0" fontId="16" fillId="0" borderId="9" xfId="0" applyFont="1" applyBorder="1" applyAlignment="1">
      <alignment horizontal="right" wrapText="1"/>
    </xf>
    <xf numFmtId="49" fontId="23" fillId="4" borderId="9" xfId="0" applyNumberFormat="1" applyFont="1" applyFill="1" applyBorder="1" applyAlignment="1">
      <alignment horizontal="right" vertical="top" wrapText="1"/>
    </xf>
    <xf numFmtId="0" fontId="23" fillId="4" borderId="8" xfId="0" applyFont="1" applyFill="1" applyBorder="1" applyAlignment="1">
      <alignment wrapText="1"/>
    </xf>
    <xf numFmtId="0" fontId="23" fillId="4" borderId="9" xfId="0" applyFont="1" applyFill="1" applyBorder="1" applyAlignment="1">
      <alignment wrapText="1"/>
    </xf>
    <xf numFmtId="164" fontId="14" fillId="4" borderId="27" xfId="0" applyNumberFormat="1" applyFont="1" applyFill="1" applyBorder="1" applyAlignment="1">
      <alignment horizontal="center" wrapText="1"/>
    </xf>
    <xf numFmtId="166" fontId="18" fillId="5" borderId="6" xfId="0" applyNumberFormat="1" applyFont="1" applyFill="1" applyBorder="1" applyAlignment="1">
      <alignment horizontal="center" vertical="center"/>
    </xf>
    <xf numFmtId="166" fontId="0" fillId="0" borderId="10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2" fontId="26" fillId="0" borderId="0" xfId="0" applyNumberFormat="1" applyFont="1"/>
    <xf numFmtId="2" fontId="14" fillId="3" borderId="44" xfId="0" applyNumberFormat="1" applyFont="1" applyFill="1" applyBorder="1" applyAlignment="1">
      <alignment horizontal="center"/>
    </xf>
    <xf numFmtId="2" fontId="24" fillId="4" borderId="8" xfId="0" applyNumberFormat="1" applyFont="1" applyFill="1" applyBorder="1" applyAlignment="1">
      <alignment horizontal="right" wrapText="1"/>
    </xf>
    <xf numFmtId="2" fontId="24" fillId="4" borderId="9" xfId="0" applyNumberFormat="1" applyFont="1" applyFill="1" applyBorder="1" applyAlignment="1">
      <alignment horizontal="right" wrapText="1"/>
    </xf>
    <xf numFmtId="164" fontId="37" fillId="4" borderId="23" xfId="0" applyNumberFormat="1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top"/>
    </xf>
    <xf numFmtId="0" fontId="28" fillId="4" borderId="19" xfId="0" applyFont="1" applyFill="1" applyBorder="1" applyAlignment="1">
      <alignment horizontal="center" vertical="top"/>
    </xf>
    <xf numFmtId="164" fontId="37" fillId="4" borderId="41" xfId="0" applyNumberFormat="1" applyFont="1" applyFill="1" applyBorder="1" applyAlignment="1">
      <alignment horizontal="center" vertical="center"/>
    </xf>
    <xf numFmtId="2" fontId="37" fillId="4" borderId="23" xfId="0" applyNumberFormat="1" applyFont="1" applyFill="1" applyBorder="1" applyAlignment="1">
      <alignment horizontal="center" vertical="center"/>
    </xf>
    <xf numFmtId="164" fontId="37" fillId="4" borderId="27" xfId="0" applyNumberFormat="1" applyFont="1" applyFill="1" applyBorder="1" applyAlignment="1">
      <alignment horizontal="center" vertical="center"/>
    </xf>
    <xf numFmtId="164" fontId="37" fillId="4" borderId="8" xfId="0" applyNumberFormat="1" applyFont="1" applyFill="1" applyBorder="1" applyAlignment="1">
      <alignment horizontal="center" vertical="center"/>
    </xf>
    <xf numFmtId="164" fontId="37" fillId="4" borderId="19" xfId="0" applyNumberFormat="1" applyFont="1" applyFill="1" applyBorder="1" applyAlignment="1">
      <alignment horizontal="center" vertical="center"/>
    </xf>
    <xf numFmtId="164" fontId="37" fillId="12" borderId="8" xfId="0" applyNumberFormat="1" applyFont="1" applyFill="1" applyBorder="1" applyAlignment="1">
      <alignment horizontal="center" vertical="center"/>
    </xf>
    <xf numFmtId="164" fontId="37" fillId="13" borderId="8" xfId="0" applyNumberFormat="1" applyFont="1" applyFill="1" applyBorder="1" applyAlignment="1">
      <alignment horizontal="center" vertical="center"/>
    </xf>
    <xf numFmtId="164" fontId="37" fillId="13" borderId="23" xfId="0" applyNumberFormat="1" applyFont="1" applyFill="1" applyBorder="1" applyAlignment="1">
      <alignment horizontal="center" vertical="center"/>
    </xf>
    <xf numFmtId="2" fontId="13" fillId="11" borderId="19" xfId="0" applyNumberFormat="1" applyFont="1" applyFill="1" applyBorder="1" applyAlignment="1">
      <alignment horizontal="center" vertical="center"/>
    </xf>
    <xf numFmtId="164" fontId="37" fillId="12" borderId="19" xfId="0" applyNumberFormat="1" applyFont="1" applyFill="1" applyBorder="1" applyAlignment="1">
      <alignment horizontal="center" vertical="center"/>
    </xf>
    <xf numFmtId="164" fontId="37" fillId="13" borderId="3" xfId="0" applyNumberFormat="1" applyFont="1" applyFill="1" applyBorder="1" applyAlignment="1">
      <alignment horizontal="center" vertical="center"/>
    </xf>
    <xf numFmtId="164" fontId="37" fillId="13" borderId="60" xfId="0" applyNumberFormat="1" applyFont="1" applyFill="1" applyBorder="1" applyAlignment="1">
      <alignment horizontal="center" vertical="center"/>
    </xf>
    <xf numFmtId="164" fontId="37" fillId="13" borderId="34" xfId="0" applyNumberFormat="1" applyFont="1" applyFill="1" applyBorder="1" applyAlignment="1">
      <alignment horizontal="center" vertical="center"/>
    </xf>
    <xf numFmtId="164" fontId="37" fillId="12" borderId="34" xfId="0" applyNumberFormat="1" applyFont="1" applyFill="1" applyBorder="1" applyAlignment="1">
      <alignment horizontal="center" vertical="center"/>
    </xf>
    <xf numFmtId="164" fontId="13" fillId="4" borderId="19" xfId="0" applyNumberFormat="1" applyFont="1" applyFill="1" applyBorder="1" applyAlignment="1">
      <alignment horizontal="center" vertical="center"/>
    </xf>
    <xf numFmtId="0" fontId="26" fillId="0" borderId="60" xfId="0" applyFont="1" applyBorder="1"/>
    <xf numFmtId="0" fontId="43" fillId="0" borderId="60" xfId="0" applyFont="1" applyBorder="1"/>
    <xf numFmtId="0" fontId="46" fillId="0" borderId="60" xfId="0" applyFont="1" applyBorder="1"/>
    <xf numFmtId="164" fontId="26" fillId="0" borderId="0" xfId="0" applyNumberFormat="1" applyFont="1" applyAlignment="1">
      <alignment horizontal="center"/>
    </xf>
    <xf numFmtId="0" fontId="39" fillId="0" borderId="0" xfId="0" applyFont="1" applyAlignment="1">
      <alignment horizontal="right"/>
    </xf>
    <xf numFmtId="164" fontId="39" fillId="0" borderId="0" xfId="0" applyNumberFormat="1" applyFont="1" applyAlignment="1">
      <alignment horizontal="center"/>
    </xf>
    <xf numFmtId="9" fontId="39" fillId="0" borderId="0" xfId="0" applyNumberFormat="1" applyFont="1" applyAlignment="1">
      <alignment horizontal="center"/>
    </xf>
    <xf numFmtId="2" fontId="47" fillId="7" borderId="10" xfId="0" applyNumberFormat="1" applyFont="1" applyFill="1" applyBorder="1" applyAlignment="1">
      <alignment horizontal="center"/>
    </xf>
    <xf numFmtId="14" fontId="48" fillId="7" borderId="6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left"/>
    </xf>
    <xf numFmtId="49" fontId="16" fillId="3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right"/>
    </xf>
    <xf numFmtId="2" fontId="14" fillId="3" borderId="0" xfId="0" applyNumberFormat="1" applyFont="1" applyFill="1" applyAlignment="1">
      <alignment horizontal="center"/>
    </xf>
    <xf numFmtId="164" fontId="14" fillId="3" borderId="0" xfId="0" applyNumberFormat="1" applyFont="1" applyFill="1" applyAlignment="1">
      <alignment horizontal="center"/>
    </xf>
    <xf numFmtId="164" fontId="18" fillId="5" borderId="0" xfId="0" applyNumberFormat="1" applyFont="1" applyFill="1" applyAlignment="1">
      <alignment horizontal="center" vertical="center"/>
    </xf>
    <xf numFmtId="0" fontId="12" fillId="4" borderId="18" xfId="0" applyFont="1" applyFill="1" applyBorder="1" applyAlignment="1">
      <alignment horizontal="right" wrapText="1"/>
    </xf>
    <xf numFmtId="49" fontId="12" fillId="4" borderId="16" xfId="0" applyNumberFormat="1" applyFont="1" applyFill="1" applyBorder="1" applyAlignment="1">
      <alignment wrapText="1"/>
    </xf>
    <xf numFmtId="164" fontId="1" fillId="3" borderId="53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49" fontId="0" fillId="0" borderId="4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2" fontId="33" fillId="4" borderId="0" xfId="0" applyNumberFormat="1" applyFont="1" applyFill="1" applyAlignment="1">
      <alignment horizontal="center"/>
    </xf>
    <xf numFmtId="0" fontId="26" fillId="7" borderId="0" xfId="0" applyFont="1" applyFill="1"/>
    <xf numFmtId="0" fontId="26" fillId="0" borderId="8" xfId="0" applyFont="1" applyBorder="1"/>
    <xf numFmtId="0" fontId="12" fillId="5" borderId="57" xfId="0" applyFont="1" applyFill="1" applyBorder="1" applyAlignment="1">
      <alignment horizontal="center" vertical="top"/>
    </xf>
    <xf numFmtId="0" fontId="28" fillId="4" borderId="82" xfId="0" applyFont="1" applyFill="1" applyBorder="1" applyAlignment="1">
      <alignment horizontal="center" vertical="top"/>
    </xf>
    <xf numFmtId="164" fontId="37" fillId="4" borderId="85" xfId="0" applyNumberFormat="1" applyFont="1" applyFill="1" applyBorder="1" applyAlignment="1">
      <alignment horizontal="center" vertical="center"/>
    </xf>
    <xf numFmtId="2" fontId="37" fillId="4" borderId="81" xfId="0" applyNumberFormat="1" applyFont="1" applyFill="1" applyBorder="1" applyAlignment="1">
      <alignment horizontal="center" vertical="center"/>
    </xf>
    <xf numFmtId="2" fontId="37" fillId="4" borderId="68" xfId="0" applyNumberFormat="1" applyFont="1" applyFill="1" applyBorder="1" applyAlignment="1">
      <alignment horizontal="center" vertical="center"/>
    </xf>
    <xf numFmtId="164" fontId="37" fillId="15" borderId="22" xfId="0" applyNumberFormat="1" applyFont="1" applyFill="1" applyBorder="1" applyAlignment="1">
      <alignment horizontal="center"/>
    </xf>
    <xf numFmtId="164" fontId="1" fillId="7" borderId="57" xfId="0" applyNumberFormat="1" applyFont="1" applyFill="1" applyBorder="1" applyAlignment="1">
      <alignment horizontal="center"/>
    </xf>
    <xf numFmtId="164" fontId="0" fillId="7" borderId="10" xfId="0" applyNumberFormat="1" applyFill="1" applyBorder="1" applyAlignment="1">
      <alignment horizontal="center"/>
    </xf>
    <xf numFmtId="164" fontId="0" fillId="7" borderId="21" xfId="0" applyNumberFormat="1" applyFill="1" applyBorder="1" applyAlignment="1">
      <alignment horizontal="center"/>
    </xf>
    <xf numFmtId="164" fontId="20" fillId="7" borderId="30" xfId="0" applyNumberFormat="1" applyFont="1" applyFill="1" applyBorder="1" applyAlignment="1">
      <alignment horizontal="center"/>
    </xf>
    <xf numFmtId="49" fontId="0" fillId="7" borderId="21" xfId="0" applyNumberForma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164" fontId="0" fillId="7" borderId="20" xfId="0" applyNumberFormat="1" applyFill="1" applyBorder="1" applyAlignment="1">
      <alignment horizontal="center"/>
    </xf>
    <xf numFmtId="164" fontId="1" fillId="7" borderId="6" xfId="0" applyNumberFormat="1" applyFont="1" applyFill="1" applyBorder="1" applyAlignment="1">
      <alignment horizontal="center"/>
    </xf>
    <xf numFmtId="164" fontId="39" fillId="0" borderId="21" xfId="0" applyNumberFormat="1" applyFont="1" applyBorder="1" applyAlignment="1">
      <alignment horizontal="center" vertical="center"/>
    </xf>
    <xf numFmtId="164" fontId="39" fillId="0" borderId="42" xfId="0" applyNumberFormat="1" applyFont="1" applyBorder="1" applyAlignment="1">
      <alignment horizontal="center" vertical="center"/>
    </xf>
    <xf numFmtId="0" fontId="0" fillId="9" borderId="6" xfId="0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9" fontId="39" fillId="0" borderId="21" xfId="0" applyNumberFormat="1" applyFont="1" applyBorder="1" applyAlignment="1">
      <alignment horizontal="center" vertical="center"/>
    </xf>
    <xf numFmtId="9" fontId="39" fillId="0" borderId="10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right" wrapText="1"/>
    </xf>
    <xf numFmtId="164" fontId="39" fillId="4" borderId="0" xfId="0" applyNumberFormat="1" applyFont="1" applyFill="1" applyAlignment="1">
      <alignment horizontal="center"/>
    </xf>
    <xf numFmtId="0" fontId="1" fillId="0" borderId="86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9" fontId="39" fillId="4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 vertical="center"/>
    </xf>
    <xf numFmtId="49" fontId="0" fillId="0" borderId="77" xfId="0" applyNumberFormat="1" applyBorder="1" applyAlignment="1">
      <alignment horizontal="center" vertical="center"/>
    </xf>
    <xf numFmtId="164" fontId="39" fillId="0" borderId="63" xfId="0" applyNumberFormat="1" applyFont="1" applyBorder="1" applyAlignment="1">
      <alignment horizontal="center" vertical="center"/>
    </xf>
    <xf numFmtId="9" fontId="39" fillId="0" borderId="63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49" fontId="39" fillId="4" borderId="0" xfId="0" applyNumberFormat="1" applyFont="1" applyFill="1"/>
    <xf numFmtId="164" fontId="39" fillId="0" borderId="10" xfId="0" applyNumberFormat="1" applyFont="1" applyBorder="1" applyAlignment="1">
      <alignment horizontal="center" vertical="center"/>
    </xf>
    <xf numFmtId="0" fontId="0" fillId="6" borderId="30" xfId="0" applyFill="1" applyBorder="1" applyAlignment="1">
      <alignment horizontal="center" vertical="center" wrapText="1"/>
    </xf>
    <xf numFmtId="0" fontId="49" fillId="0" borderId="88" xfId="0" applyFont="1" applyBorder="1" applyAlignment="1">
      <alignment horizontal="center" vertical="center"/>
    </xf>
    <xf numFmtId="0" fontId="39" fillId="0" borderId="74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164" fontId="39" fillId="0" borderId="33" xfId="0" applyNumberFormat="1" applyFont="1" applyBorder="1" applyAlignment="1">
      <alignment horizontal="center" vertical="center"/>
    </xf>
    <xf numFmtId="9" fontId="39" fillId="0" borderId="33" xfId="0" applyNumberFormat="1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39" fillId="0" borderId="77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164" fontId="1" fillId="9" borderId="53" xfId="0" applyNumberFormat="1" applyFont="1" applyFill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9" fontId="39" fillId="0" borderId="15" xfId="0" applyNumberFormat="1" applyFont="1" applyBorder="1" applyAlignment="1">
      <alignment horizontal="center" vertical="center"/>
    </xf>
    <xf numFmtId="164" fontId="1" fillId="6" borderId="55" xfId="0" applyNumberFormat="1" applyFont="1" applyFill="1" applyBorder="1" applyAlignment="1">
      <alignment horizontal="center"/>
    </xf>
    <xf numFmtId="0" fontId="39" fillId="0" borderId="26" xfId="0" applyFont="1" applyBorder="1"/>
    <xf numFmtId="164" fontId="39" fillId="0" borderId="15" xfId="0" applyNumberFormat="1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4" fontId="0" fillId="0" borderId="8" xfId="0" applyNumberFormat="1" applyBorder="1" applyAlignment="1">
      <alignment vertical="center"/>
    </xf>
    <xf numFmtId="0" fontId="1" fillId="6" borderId="49" xfId="0" applyFont="1" applyFill="1" applyBorder="1" applyAlignment="1">
      <alignment horizontal="center" vertical="center" wrapText="1"/>
    </xf>
    <xf numFmtId="164" fontId="1" fillId="9" borderId="68" xfId="0" applyNumberFormat="1" applyFont="1" applyFill="1" applyBorder="1" applyAlignment="1">
      <alignment horizontal="center" vertical="center"/>
    </xf>
    <xf numFmtId="0" fontId="0" fillId="6" borderId="47" xfId="0" applyFill="1" applyBorder="1" applyAlignment="1">
      <alignment horizontal="center" vertical="center" wrapText="1"/>
    </xf>
    <xf numFmtId="164" fontId="1" fillId="6" borderId="5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63" xfId="0" applyBorder="1" applyAlignment="1">
      <alignment horizontal="center" vertical="center"/>
    </xf>
    <xf numFmtId="49" fontId="0" fillId="0" borderId="77" xfId="0" applyNumberFormat="1" applyBorder="1" applyAlignment="1">
      <alignment horizontal="center"/>
    </xf>
    <xf numFmtId="0" fontId="0" fillId="0" borderId="63" xfId="0" applyBorder="1" applyAlignment="1">
      <alignment horizontal="center"/>
    </xf>
    <xf numFmtId="164" fontId="0" fillId="0" borderId="64" xfId="0" applyNumberFormat="1" applyBorder="1" applyAlignment="1">
      <alignment horizontal="center"/>
    </xf>
    <xf numFmtId="49" fontId="0" fillId="0" borderId="7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4" fontId="1" fillId="14" borderId="6" xfId="0" applyNumberFormat="1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164" fontId="0" fillId="4" borderId="0" xfId="0" applyNumberFormat="1" applyFill="1" applyAlignment="1">
      <alignment horizontal="center"/>
    </xf>
    <xf numFmtId="164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 wrapText="1"/>
    </xf>
    <xf numFmtId="0" fontId="50" fillId="0" borderId="6" xfId="0" applyFont="1" applyBorder="1" applyAlignment="1">
      <alignment horizontal="center" vertical="center"/>
    </xf>
    <xf numFmtId="0" fontId="50" fillId="4" borderId="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/>
    </xf>
    <xf numFmtId="0" fontId="11" fillId="0" borderId="26" xfId="0" applyFont="1" applyBorder="1" applyAlignment="1">
      <alignment horizontal="left"/>
    </xf>
    <xf numFmtId="0" fontId="11" fillId="0" borderId="26" xfId="0" applyFont="1" applyBorder="1"/>
    <xf numFmtId="0" fontId="0" fillId="0" borderId="26" xfId="0" applyBorder="1"/>
    <xf numFmtId="164" fontId="0" fillId="0" borderId="42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49" fontId="0" fillId="7" borderId="42" xfId="0" applyNumberFormat="1" applyFill="1" applyBorder="1" applyAlignment="1">
      <alignment horizontal="center"/>
    </xf>
    <xf numFmtId="0" fontId="0" fillId="0" borderId="42" xfId="0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2" fontId="51" fillId="0" borderId="0" xfId="0" applyNumberFormat="1" applyFont="1" applyAlignment="1">
      <alignment horizontal="center"/>
    </xf>
    <xf numFmtId="0" fontId="39" fillId="3" borderId="0" xfId="0" applyFont="1" applyFill="1"/>
    <xf numFmtId="164" fontId="1" fillId="16" borderId="53" xfId="0" applyNumberFormat="1" applyFont="1" applyFill="1" applyBorder="1" applyAlignment="1">
      <alignment horizontal="center"/>
    </xf>
    <xf numFmtId="164" fontId="1" fillId="16" borderId="68" xfId="0" applyNumberFormat="1" applyFont="1" applyFill="1" applyBorder="1" applyAlignment="1">
      <alignment horizontal="center" vertical="center"/>
    </xf>
    <xf numFmtId="0" fontId="11" fillId="0" borderId="48" xfId="0" applyFont="1" applyBorder="1" applyAlignment="1">
      <alignment horizontal="left"/>
    </xf>
    <xf numFmtId="0" fontId="11" fillId="0" borderId="48" xfId="0" applyFont="1" applyBorder="1"/>
    <xf numFmtId="0" fontId="0" fillId="0" borderId="49" xfId="0" applyBorder="1"/>
    <xf numFmtId="0" fontId="0" fillId="9" borderId="10" xfId="0" applyFill="1" applyBorder="1" applyAlignment="1">
      <alignment horizontal="center"/>
    </xf>
    <xf numFmtId="164" fontId="0" fillId="9" borderId="10" xfId="0" applyNumberFormat="1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164" fontId="0" fillId="9" borderId="21" xfId="0" applyNumberFormat="1" applyFill="1" applyBorder="1" applyAlignment="1">
      <alignment horizontal="center"/>
    </xf>
    <xf numFmtId="49" fontId="28" fillId="4" borderId="55" xfId="0" applyNumberFormat="1" applyFont="1" applyFill="1" applyBorder="1" applyAlignment="1">
      <alignment horizontal="center"/>
    </xf>
    <xf numFmtId="49" fontId="28" fillId="4" borderId="32" xfId="0" applyNumberFormat="1" applyFont="1" applyFill="1" applyBorder="1" applyAlignment="1">
      <alignment horizontal="center"/>
    </xf>
    <xf numFmtId="164" fontId="34" fillId="4" borderId="54" xfId="0" applyNumberFormat="1" applyFont="1" applyFill="1" applyBorder="1" applyAlignment="1">
      <alignment horizontal="center" vertical="center"/>
    </xf>
    <xf numFmtId="10" fontId="33" fillId="4" borderId="21" xfId="0" applyNumberFormat="1" applyFont="1" applyFill="1" applyBorder="1" applyAlignment="1">
      <alignment horizontal="center"/>
    </xf>
    <xf numFmtId="164" fontId="0" fillId="9" borderId="8" xfId="0" applyNumberFormat="1" applyFill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1" fillId="0" borderId="0" xfId="0" applyFont="1"/>
    <xf numFmtId="0" fontId="10" fillId="2" borderId="60" xfId="0" applyFont="1" applyFill="1" applyBorder="1" applyAlignment="1">
      <alignment horizontal="left"/>
    </xf>
    <xf numFmtId="0" fontId="10" fillId="2" borderId="61" xfId="0" applyFont="1" applyFill="1" applyBorder="1" applyAlignment="1">
      <alignment horizontal="left"/>
    </xf>
    <xf numFmtId="2" fontId="0" fillId="4" borderId="0" xfId="0" applyNumberFormat="1" applyFill="1" applyAlignment="1">
      <alignment horizontal="center"/>
    </xf>
    <xf numFmtId="0" fontId="53" fillId="0" borderId="0" xfId="0" applyFont="1" applyAlignment="1">
      <alignment horizontal="center"/>
    </xf>
    <xf numFmtId="0" fontId="53" fillId="0" borderId="0" xfId="0" applyFont="1"/>
    <xf numFmtId="49" fontId="0" fillId="9" borderId="81" xfId="0" applyNumberFormat="1" applyFill="1" applyBorder="1" applyAlignment="1">
      <alignment horizontal="center"/>
    </xf>
    <xf numFmtId="49" fontId="0" fillId="9" borderId="68" xfId="0" applyNumberForma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49" fontId="0" fillId="9" borderId="53" xfId="0" applyNumberFormat="1" applyFill="1" applyBorder="1" applyAlignment="1">
      <alignment horizontal="center"/>
    </xf>
    <xf numFmtId="49" fontId="0" fillId="0" borderId="53" xfId="0" applyNumberFormat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49" fontId="0" fillId="4" borderId="21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49" fontId="0" fillId="4" borderId="73" xfId="0" applyNumberForma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164" fontId="0" fillId="4" borderId="36" xfId="0" applyNumberFormat="1" applyFill="1" applyBorder="1" applyAlignment="1">
      <alignment horizontal="center"/>
    </xf>
    <xf numFmtId="49" fontId="0" fillId="4" borderId="10" xfId="0" applyNumberFormat="1" applyFill="1" applyBorder="1" applyAlignment="1">
      <alignment horizontal="center"/>
    </xf>
    <xf numFmtId="164" fontId="0" fillId="4" borderId="2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26" fillId="0" borderId="0" xfId="0" applyFont="1" applyAlignment="1">
      <alignment wrapText="1"/>
    </xf>
    <xf numFmtId="164" fontId="0" fillId="4" borderId="26" xfId="0" applyNumberFormat="1" applyFill="1" applyBorder="1" applyAlignment="1">
      <alignment horizontal="center"/>
    </xf>
    <xf numFmtId="164" fontId="0" fillId="4" borderId="42" xfId="0" applyNumberFormat="1" applyFill="1" applyBorder="1" applyAlignment="1">
      <alignment horizontal="center"/>
    </xf>
    <xf numFmtId="164" fontId="0" fillId="9" borderId="42" xfId="0" applyNumberFormat="1" applyFill="1" applyBorder="1" applyAlignment="1">
      <alignment horizontal="center"/>
    </xf>
    <xf numFmtId="0" fontId="35" fillId="3" borderId="0" xfId="0" applyFont="1" applyFill="1" applyAlignment="1">
      <alignment horizontal="right"/>
    </xf>
    <xf numFmtId="164" fontId="36" fillId="5" borderId="0" xfId="0" applyNumberFormat="1" applyFont="1" applyFill="1" applyAlignment="1">
      <alignment horizontal="center" vertical="center"/>
    </xf>
    <xf numFmtId="164" fontId="37" fillId="3" borderId="20" xfId="0" applyNumberFormat="1" applyFont="1" applyFill="1" applyBorder="1" applyAlignment="1">
      <alignment horizontal="center"/>
    </xf>
    <xf numFmtId="164" fontId="37" fillId="7" borderId="20" xfId="0" applyNumberFormat="1" applyFont="1" applyFill="1" applyBorder="1" applyAlignment="1">
      <alignment horizontal="center"/>
    </xf>
    <xf numFmtId="2" fontId="37" fillId="7" borderId="20" xfId="0" applyNumberFormat="1" applyFont="1" applyFill="1" applyBorder="1" applyAlignment="1">
      <alignment horizontal="center"/>
    </xf>
    <xf numFmtId="2" fontId="37" fillId="4" borderId="70" xfId="0" applyNumberFormat="1" applyFont="1" applyFill="1" applyBorder="1" applyAlignment="1">
      <alignment horizontal="center" vertical="center"/>
    </xf>
    <xf numFmtId="2" fontId="37" fillId="4" borderId="27" xfId="0" applyNumberFormat="1" applyFont="1" applyFill="1" applyBorder="1" applyAlignment="1">
      <alignment horizontal="center" vertical="center"/>
    </xf>
    <xf numFmtId="164" fontId="37" fillId="7" borderId="42" xfId="0" applyNumberFormat="1" applyFont="1" applyFill="1" applyBorder="1" applyAlignment="1">
      <alignment horizontal="center"/>
    </xf>
    <xf numFmtId="0" fontId="12" fillId="13" borderId="4" xfId="0" applyFont="1" applyFill="1" applyBorder="1"/>
    <xf numFmtId="0" fontId="28" fillId="13" borderId="9" xfId="0" applyFont="1" applyFill="1" applyBorder="1"/>
    <xf numFmtId="165" fontId="53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164" fontId="55" fillId="0" borderId="0" xfId="0" applyNumberFormat="1" applyFont="1" applyAlignment="1">
      <alignment horizontal="center"/>
    </xf>
    <xf numFmtId="164" fontId="37" fillId="4" borderId="81" xfId="0" applyNumberFormat="1" applyFont="1" applyFill="1" applyBorder="1" applyAlignment="1">
      <alignment horizontal="center" vertical="center"/>
    </xf>
    <xf numFmtId="164" fontId="37" fillId="4" borderId="92" xfId="0" applyNumberFormat="1" applyFont="1" applyFill="1" applyBorder="1" applyAlignment="1">
      <alignment horizontal="center" vertical="center"/>
    </xf>
    <xf numFmtId="10" fontId="37" fillId="13" borderId="37" xfId="0" applyNumberFormat="1" applyFont="1" applyFill="1" applyBorder="1" applyAlignment="1">
      <alignment horizontal="center" vertical="center"/>
    </xf>
    <xf numFmtId="49" fontId="53" fillId="0" borderId="0" xfId="0" applyNumberFormat="1" applyFont="1" applyAlignment="1">
      <alignment horizontal="center"/>
    </xf>
    <xf numFmtId="0" fontId="54" fillId="4" borderId="0" xfId="0" applyFont="1" applyFill="1" applyAlignment="1">
      <alignment horizontal="center"/>
    </xf>
    <xf numFmtId="49" fontId="53" fillId="4" borderId="0" xfId="0" applyNumberFormat="1" applyFont="1" applyFill="1" applyAlignment="1">
      <alignment horizontal="center"/>
    </xf>
    <xf numFmtId="0" fontId="53" fillId="4" borderId="0" xfId="0" applyFont="1" applyFill="1"/>
    <xf numFmtId="49" fontId="0" fillId="4" borderId="0" xfId="0" applyNumberFormat="1" applyFill="1" applyAlignment="1">
      <alignment horizontal="center"/>
    </xf>
    <xf numFmtId="49" fontId="0" fillId="4" borderId="10" xfId="0" applyNumberFormat="1" applyFill="1" applyBorder="1" applyAlignment="1">
      <alignment horizontal="center" vertical="center"/>
    </xf>
    <xf numFmtId="164" fontId="4" fillId="4" borderId="21" xfId="0" applyNumberFormat="1" applyFont="1" applyFill="1" applyBorder="1" applyAlignment="1">
      <alignment horizontal="center"/>
    </xf>
    <xf numFmtId="0" fontId="4" fillId="4" borderId="21" xfId="0" applyFont="1" applyFill="1" applyBorder="1"/>
    <xf numFmtId="0" fontId="51" fillId="4" borderId="77" xfId="0" applyFont="1" applyFill="1" applyBorder="1" applyAlignment="1">
      <alignment horizontal="left" vertical="center"/>
    </xf>
    <xf numFmtId="49" fontId="0" fillId="4" borderId="63" xfId="0" applyNumberFormat="1" applyFill="1" applyBorder="1" applyAlignment="1">
      <alignment horizontal="center" vertical="center"/>
    </xf>
    <xf numFmtId="49" fontId="0" fillId="4" borderId="64" xfId="0" applyNumberFormat="1" applyFill="1" applyBorder="1" applyAlignment="1">
      <alignment horizontal="center" vertical="center"/>
    </xf>
    <xf numFmtId="0" fontId="1" fillId="4" borderId="73" xfId="0" applyFont="1" applyFill="1" applyBorder="1" applyAlignment="1">
      <alignment horizontal="left" vertical="center"/>
    </xf>
    <xf numFmtId="2" fontId="0" fillId="4" borderId="36" xfId="0" applyNumberFormat="1" applyFill="1" applyBorder="1" applyAlignment="1">
      <alignment horizontal="center"/>
    </xf>
    <xf numFmtId="0" fontId="0" fillId="4" borderId="73" xfId="0" applyFill="1" applyBorder="1"/>
    <xf numFmtId="0" fontId="52" fillId="4" borderId="73" xfId="0" applyFont="1" applyFill="1" applyBorder="1" applyAlignment="1">
      <alignment horizontal="left" vertical="center"/>
    </xf>
    <xf numFmtId="164" fontId="1" fillId="4" borderId="15" xfId="0" applyNumberFormat="1" applyFont="1" applyFill="1" applyBorder="1" applyAlignment="1">
      <alignment horizontal="center" vertical="center"/>
    </xf>
    <xf numFmtId="2" fontId="0" fillId="4" borderId="94" xfId="0" applyNumberFormat="1" applyFill="1" applyBorder="1" applyAlignment="1">
      <alignment horizontal="center"/>
    </xf>
    <xf numFmtId="2" fontId="0" fillId="4" borderId="35" xfId="0" applyNumberFormat="1" applyFill="1" applyBorder="1" applyAlignment="1">
      <alignment horizontal="center"/>
    </xf>
    <xf numFmtId="0" fontId="51" fillId="4" borderId="67" xfId="0" applyFont="1" applyFill="1" applyBorder="1" applyAlignment="1">
      <alignment horizontal="left" vertical="center"/>
    </xf>
    <xf numFmtId="49" fontId="0" fillId="4" borderId="35" xfId="0" applyNumberFormat="1" applyFill="1" applyBorder="1" applyAlignment="1">
      <alignment horizontal="center" vertical="center"/>
    </xf>
    <xf numFmtId="0" fontId="52" fillId="4" borderId="95" xfId="0" applyFont="1" applyFill="1" applyBorder="1" applyAlignment="1">
      <alignment horizontal="left" vertical="center"/>
    </xf>
    <xf numFmtId="49" fontId="4" fillId="4" borderId="42" xfId="0" applyNumberFormat="1" applyFont="1" applyFill="1" applyBorder="1" applyAlignment="1">
      <alignment horizontal="center" vertical="center"/>
    </xf>
    <xf numFmtId="164" fontId="1" fillId="4" borderId="42" xfId="0" applyNumberFormat="1" applyFont="1" applyFill="1" applyBorder="1" applyAlignment="1">
      <alignment horizontal="center" vertical="center"/>
    </xf>
    <xf numFmtId="2" fontId="0" fillId="4" borderId="38" xfId="0" applyNumberFormat="1" applyFill="1" applyBorder="1" applyAlignment="1">
      <alignment horizontal="center"/>
    </xf>
    <xf numFmtId="0" fontId="52" fillId="4" borderId="77" xfId="0" applyFont="1" applyFill="1" applyBorder="1" applyAlignment="1">
      <alignment horizontal="left" vertical="center"/>
    </xf>
    <xf numFmtId="164" fontId="58" fillId="4" borderId="63" xfId="0" applyNumberFormat="1" applyFont="1" applyFill="1" applyBorder="1" applyAlignment="1">
      <alignment horizontal="center" vertical="center"/>
    </xf>
    <xf numFmtId="49" fontId="4" fillId="4" borderId="63" xfId="0" applyNumberFormat="1" applyFont="1" applyFill="1" applyBorder="1" applyAlignment="1">
      <alignment horizontal="center" vertical="center"/>
    </xf>
    <xf numFmtId="164" fontId="1" fillId="4" borderId="63" xfId="0" applyNumberFormat="1" applyFont="1" applyFill="1" applyBorder="1" applyAlignment="1">
      <alignment horizontal="center" vertical="center"/>
    </xf>
    <xf numFmtId="2" fontId="0" fillId="4" borderId="64" xfId="0" applyNumberFormat="1" applyFill="1" applyBorder="1" applyAlignment="1">
      <alignment horizontal="center"/>
    </xf>
    <xf numFmtId="0" fontId="57" fillId="4" borderId="73" xfId="0" applyFont="1" applyFill="1" applyBorder="1" applyAlignment="1">
      <alignment horizontal="left" vertical="center"/>
    </xf>
    <xf numFmtId="2" fontId="4" fillId="4" borderId="36" xfId="0" applyNumberFormat="1" applyFont="1" applyFill="1" applyBorder="1" applyAlignment="1">
      <alignment horizontal="center"/>
    </xf>
    <xf numFmtId="0" fontId="39" fillId="4" borderId="93" xfId="0" applyFont="1" applyFill="1" applyBorder="1"/>
    <xf numFmtId="0" fontId="4" fillId="4" borderId="15" xfId="0" applyFont="1" applyFill="1" applyBorder="1" applyAlignment="1">
      <alignment horizontal="right"/>
    </xf>
    <xf numFmtId="0" fontId="1" fillId="4" borderId="15" xfId="0" applyFont="1" applyFill="1" applyBorder="1" applyAlignment="1">
      <alignment horizontal="center" vertical="top"/>
    </xf>
    <xf numFmtId="164" fontId="59" fillId="4" borderId="21" xfId="0" applyNumberFormat="1" applyFont="1" applyFill="1" applyBorder="1" applyAlignment="1">
      <alignment horizontal="center" vertical="center"/>
    </xf>
    <xf numFmtId="164" fontId="59" fillId="4" borderId="42" xfId="0" applyNumberFormat="1" applyFont="1" applyFill="1" applyBorder="1" applyAlignment="1">
      <alignment horizontal="center" vertical="center"/>
    </xf>
    <xf numFmtId="165" fontId="1" fillId="4" borderId="6" xfId="0" applyNumberFormat="1" applyFont="1" applyFill="1" applyBorder="1" applyAlignment="1">
      <alignment horizontal="center" vertical="top"/>
    </xf>
    <xf numFmtId="164" fontId="56" fillId="4" borderId="6" xfId="0" applyNumberFormat="1" applyFont="1" applyFill="1" applyBorder="1" applyAlignment="1">
      <alignment horizontal="center" vertical="center"/>
    </xf>
    <xf numFmtId="164" fontId="4" fillId="4" borderId="21" xfId="0" applyNumberFormat="1" applyFont="1" applyFill="1" applyBorder="1" applyAlignment="1">
      <alignment horizontal="center" vertical="center"/>
    </xf>
    <xf numFmtId="0" fontId="52" fillId="3" borderId="30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64" fontId="58" fillId="4" borderId="10" xfId="0" applyNumberFormat="1" applyFont="1" applyFill="1" applyBorder="1" applyAlignment="1">
      <alignment horizontal="center" vertical="center"/>
    </xf>
    <xf numFmtId="164" fontId="1" fillId="4" borderId="10" xfId="0" applyNumberFormat="1" applyFont="1" applyFill="1" applyBorder="1" applyAlignment="1">
      <alignment horizontal="center" vertical="center"/>
    </xf>
    <xf numFmtId="164" fontId="4" fillId="4" borderId="22" xfId="0" applyNumberFormat="1" applyFont="1" applyFill="1" applyBorder="1" applyAlignment="1">
      <alignment horizontal="center"/>
    </xf>
    <xf numFmtId="164" fontId="56" fillId="4" borderId="22" xfId="0" applyNumberFormat="1" applyFont="1" applyFill="1" applyBorder="1" applyAlignment="1">
      <alignment horizontal="center"/>
    </xf>
    <xf numFmtId="164" fontId="1" fillId="4" borderId="22" xfId="0" applyNumberFormat="1" applyFont="1" applyFill="1" applyBorder="1" applyAlignment="1">
      <alignment horizontal="center"/>
    </xf>
    <xf numFmtId="0" fontId="0" fillId="4" borderId="21" xfId="0" applyFill="1" applyBorder="1"/>
    <xf numFmtId="164" fontId="56" fillId="4" borderId="21" xfId="0" applyNumberFormat="1" applyFont="1" applyFill="1" applyBorder="1" applyAlignment="1">
      <alignment horizontal="center" vertical="center"/>
    </xf>
    <xf numFmtId="164" fontId="0" fillId="4" borderId="22" xfId="0" applyNumberFormat="1" applyFill="1" applyBorder="1" applyAlignment="1">
      <alignment horizontal="center"/>
    </xf>
    <xf numFmtId="14" fontId="60" fillId="4" borderId="1" xfId="0" applyNumberFormat="1" applyFont="1" applyFill="1" applyBorder="1"/>
    <xf numFmtId="2" fontId="56" fillId="0" borderId="0" xfId="0" applyNumberFormat="1" applyFont="1" applyAlignment="1">
      <alignment horizontal="center"/>
    </xf>
    <xf numFmtId="164" fontId="39" fillId="0" borderId="0" xfId="0" applyNumberFormat="1" applyFont="1" applyAlignment="1">
      <alignment horizontal="right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1" xfId="0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21" xfId="0" applyBorder="1" applyAlignment="1">
      <alignment horizontal="left" wrapText="1"/>
    </xf>
    <xf numFmtId="2" fontId="1" fillId="3" borderId="1" xfId="0" applyNumberFormat="1" applyFont="1" applyFill="1" applyBorder="1" applyAlignment="1">
      <alignment horizontal="center"/>
    </xf>
    <xf numFmtId="2" fontId="1" fillId="3" borderId="7" xfId="0" applyNumberFormat="1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0" fillId="9" borderId="9" xfId="0" applyFill="1" applyBorder="1" applyAlignment="1">
      <alignment horizontal="left"/>
    </xf>
    <xf numFmtId="0" fontId="0" fillId="9" borderId="2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9" borderId="13" xfId="0" applyFill="1" applyBorder="1" applyAlignment="1">
      <alignment horizontal="left"/>
    </xf>
    <xf numFmtId="0" fontId="0" fillId="9" borderId="14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9" borderId="4" xfId="0" applyFill="1" applyBorder="1" applyAlignment="1">
      <alignment horizontal="left"/>
    </xf>
    <xf numFmtId="0" fontId="10" fillId="2" borderId="6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61" xfId="0" applyFont="1" applyFill="1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0" xfId="0" applyAlignment="1">
      <alignment horizontal="center" wrapText="1"/>
    </xf>
    <xf numFmtId="49" fontId="0" fillId="0" borderId="8" xfId="0" applyNumberForma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0" fillId="0" borderId="9" xfId="0" applyNumberFormat="1" applyBorder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" fillId="3" borderId="47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1" fillId="3" borderId="49" xfId="0" applyFont="1" applyFill="1" applyBorder="1" applyAlignment="1">
      <alignment horizontal="center"/>
    </xf>
    <xf numFmtId="49" fontId="0" fillId="0" borderId="41" xfId="0" applyNumberFormat="1" applyBorder="1" applyAlignment="1">
      <alignment horizontal="left"/>
    </xf>
    <xf numFmtId="49" fontId="0" fillId="0" borderId="50" xfId="0" applyNumberFormat="1" applyBorder="1" applyAlignment="1">
      <alignment horizontal="left"/>
    </xf>
    <xf numFmtId="49" fontId="0" fillId="0" borderId="40" xfId="0" applyNumberFormat="1" applyBorder="1" applyAlignment="1">
      <alignment horizontal="left"/>
    </xf>
    <xf numFmtId="49" fontId="0" fillId="0" borderId="8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49" fontId="0" fillId="0" borderId="9" xfId="0" applyNumberFormat="1" applyBorder="1" applyAlignment="1">
      <alignment horizontal="left" wrapText="1"/>
    </xf>
    <xf numFmtId="0" fontId="1" fillId="3" borderId="5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48" fillId="2" borderId="47" xfId="0" applyFont="1" applyFill="1" applyBorder="1" applyAlignment="1">
      <alignment horizontal="left"/>
    </xf>
    <xf numFmtId="0" fontId="48" fillId="2" borderId="48" xfId="0" applyFont="1" applyFill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14" fontId="10" fillId="0" borderId="7" xfId="0" applyNumberFormat="1" applyFont="1" applyBorder="1" applyAlignment="1">
      <alignment horizontal="left"/>
    </xf>
    <xf numFmtId="14" fontId="10" fillId="0" borderId="2" xfId="0" applyNumberFormat="1" applyFont="1" applyBorder="1" applyAlignment="1">
      <alignment horizontal="left"/>
    </xf>
    <xf numFmtId="0" fontId="10" fillId="0" borderId="0" xfId="0" applyFont="1" applyAlignment="1">
      <alignment horizontal="center"/>
    </xf>
    <xf numFmtId="14" fontId="10" fillId="0" borderId="3" xfId="0" applyNumberFormat="1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14" fontId="10" fillId="0" borderId="62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48" xfId="0" applyBorder="1" applyAlignment="1">
      <alignment horizontal="left"/>
    </xf>
    <xf numFmtId="0" fontId="0" fillId="0" borderId="83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10" fillId="2" borderId="55" xfId="0" applyFont="1" applyFill="1" applyBorder="1" applyAlignment="1">
      <alignment horizontal="left"/>
    </xf>
    <xf numFmtId="0" fontId="10" fillId="2" borderId="26" xfId="0" applyFont="1" applyFill="1" applyBorder="1" applyAlignment="1">
      <alignment horizontal="left"/>
    </xf>
    <xf numFmtId="0" fontId="10" fillId="2" borderId="54" xfId="0" applyFont="1" applyFill="1" applyBorder="1" applyAlignment="1">
      <alignment horizontal="left"/>
    </xf>
    <xf numFmtId="49" fontId="28" fillId="4" borderId="39" xfId="0" applyNumberFormat="1" applyFont="1" applyFill="1" applyBorder="1" applyAlignment="1">
      <alignment horizontal="center"/>
    </xf>
    <xf numFmtId="49" fontId="28" fillId="4" borderId="40" xfId="0" applyNumberFormat="1" applyFont="1" applyFill="1" applyBorder="1" applyAlignment="1">
      <alignment horizontal="center"/>
    </xf>
    <xf numFmtId="0" fontId="28" fillId="4" borderId="41" xfId="0" applyFont="1" applyFill="1" applyBorder="1" applyAlignment="1">
      <alignment horizontal="right"/>
    </xf>
    <xf numFmtId="0" fontId="28" fillId="4" borderId="40" xfId="0" applyFont="1" applyFill="1" applyBorder="1" applyAlignment="1">
      <alignment horizontal="right"/>
    </xf>
    <xf numFmtId="49" fontId="32" fillId="3" borderId="1" xfId="0" applyNumberFormat="1" applyFont="1" applyFill="1" applyBorder="1" applyAlignment="1">
      <alignment horizontal="center"/>
    </xf>
    <xf numFmtId="49" fontId="32" fillId="3" borderId="43" xfId="0" applyNumberFormat="1" applyFont="1" applyFill="1" applyBorder="1" applyAlignment="1">
      <alignment horizontal="center"/>
    </xf>
    <xf numFmtId="0" fontId="35" fillId="3" borderId="44" xfId="0" applyFont="1" applyFill="1" applyBorder="1" applyAlignment="1">
      <alignment horizontal="right"/>
    </xf>
    <xf numFmtId="0" fontId="35" fillId="3" borderId="43" xfId="0" applyFont="1" applyFill="1" applyBorder="1" applyAlignment="1">
      <alignment horizontal="right"/>
    </xf>
    <xf numFmtId="0" fontId="27" fillId="3" borderId="1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 vertical="top" wrapText="1"/>
    </xf>
    <xf numFmtId="0" fontId="26" fillId="5" borderId="54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vertical="top"/>
    </xf>
    <xf numFmtId="0" fontId="26" fillId="5" borderId="7" xfId="0" applyFont="1" applyFill="1" applyBorder="1" applyAlignment="1">
      <alignment horizontal="center"/>
    </xf>
    <xf numFmtId="49" fontId="12" fillId="5" borderId="51" xfId="0" applyNumberFormat="1" applyFont="1" applyFill="1" applyBorder="1" applyAlignment="1">
      <alignment horizontal="center"/>
    </xf>
    <xf numFmtId="49" fontId="28" fillId="5" borderId="12" xfId="0" applyNumberFormat="1" applyFont="1" applyFill="1" applyBorder="1" applyAlignment="1">
      <alignment horizontal="center"/>
    </xf>
    <xf numFmtId="0" fontId="29" fillId="5" borderId="56" xfId="0" applyFont="1" applyFill="1" applyBorder="1" applyAlignment="1">
      <alignment horizontal="center" wrapText="1"/>
    </xf>
    <xf numFmtId="0" fontId="29" fillId="5" borderId="12" xfId="0" applyFont="1" applyFill="1" applyBorder="1" applyAlignment="1">
      <alignment horizontal="center" wrapText="1"/>
    </xf>
    <xf numFmtId="0" fontId="32" fillId="4" borderId="8" xfId="0" applyFont="1" applyFill="1" applyBorder="1" applyAlignment="1">
      <alignment horizontal="right" wrapText="1"/>
    </xf>
    <xf numFmtId="0" fontId="35" fillId="4" borderId="9" xfId="0" applyFont="1" applyFill="1" applyBorder="1" applyAlignment="1">
      <alignment horizontal="right" wrapText="1"/>
    </xf>
    <xf numFmtId="49" fontId="28" fillId="4" borderId="34" xfId="0" applyNumberFormat="1" applyFont="1" applyFill="1" applyBorder="1" applyAlignment="1">
      <alignment horizontal="center"/>
    </xf>
    <xf numFmtId="49" fontId="28" fillId="4" borderId="14" xfId="0" applyNumberFormat="1" applyFont="1" applyFill="1" applyBorder="1" applyAlignment="1">
      <alignment horizontal="center"/>
    </xf>
    <xf numFmtId="0" fontId="28" fillId="4" borderId="19" xfId="0" applyFont="1" applyFill="1" applyBorder="1" applyAlignment="1">
      <alignment horizontal="right"/>
    </xf>
    <xf numFmtId="0" fontId="28" fillId="4" borderId="14" xfId="0" applyFont="1" applyFill="1" applyBorder="1" applyAlignment="1">
      <alignment horizontal="right"/>
    </xf>
    <xf numFmtId="0" fontId="28" fillId="4" borderId="19" xfId="0" applyFont="1" applyFill="1" applyBorder="1" applyAlignment="1">
      <alignment horizontal="right" wrapText="1"/>
    </xf>
    <xf numFmtId="0" fontId="28" fillId="4" borderId="14" xfId="0" applyFont="1" applyFill="1" applyBorder="1" applyAlignment="1">
      <alignment horizontal="right" wrapText="1"/>
    </xf>
    <xf numFmtId="0" fontId="12" fillId="4" borderId="19" xfId="0" applyFont="1" applyFill="1" applyBorder="1" applyAlignment="1">
      <alignment horizontal="right" wrapText="1"/>
    </xf>
    <xf numFmtId="0" fontId="32" fillId="4" borderId="19" xfId="0" applyFont="1" applyFill="1" applyBorder="1" applyAlignment="1">
      <alignment horizontal="right"/>
    </xf>
    <xf numFmtId="0" fontId="32" fillId="4" borderId="14" xfId="0" applyFont="1" applyFill="1" applyBorder="1" applyAlignment="1">
      <alignment horizontal="right"/>
    </xf>
    <xf numFmtId="0" fontId="17" fillId="4" borderId="16" xfId="0" applyFont="1" applyFill="1" applyBorder="1" applyAlignment="1">
      <alignment horizontal="right"/>
    </xf>
    <xf numFmtId="0" fontId="17" fillId="4" borderId="18" xfId="0" applyFont="1" applyFill="1" applyBorder="1" applyAlignment="1">
      <alignment horizontal="right"/>
    </xf>
    <xf numFmtId="0" fontId="12" fillId="4" borderId="19" xfId="0" applyFont="1" applyFill="1" applyBorder="1" applyAlignment="1">
      <alignment horizontal="right"/>
    </xf>
    <xf numFmtId="0" fontId="17" fillId="3" borderId="44" xfId="0" applyFont="1" applyFill="1" applyBorder="1" applyAlignment="1">
      <alignment horizontal="right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49" fontId="12" fillId="5" borderId="12" xfId="0" applyNumberFormat="1" applyFont="1" applyFill="1" applyBorder="1" applyAlignment="1">
      <alignment horizontal="center"/>
    </xf>
    <xf numFmtId="0" fontId="12" fillId="4" borderId="8" xfId="0" applyFont="1" applyFill="1" applyBorder="1" applyAlignment="1">
      <alignment horizontal="right"/>
    </xf>
    <xf numFmtId="0" fontId="12" fillId="4" borderId="9" xfId="0" applyFont="1" applyFill="1" applyBorder="1" applyAlignment="1">
      <alignment horizontal="right"/>
    </xf>
    <xf numFmtId="49" fontId="12" fillId="4" borderId="3" xfId="0" applyNumberFormat="1" applyFont="1" applyFill="1" applyBorder="1" applyAlignment="1">
      <alignment horizontal="center"/>
    </xf>
    <xf numFmtId="49" fontId="12" fillId="4" borderId="9" xfId="0" applyNumberFormat="1" applyFont="1" applyFill="1" applyBorder="1" applyAlignment="1">
      <alignment horizontal="center"/>
    </xf>
    <xf numFmtId="0" fontId="16" fillId="4" borderId="8" xfId="0" applyFont="1" applyFill="1" applyBorder="1" applyAlignment="1">
      <alignment horizontal="right"/>
    </xf>
    <xf numFmtId="0" fontId="16" fillId="4" borderId="9" xfId="0" applyFont="1" applyFill="1" applyBorder="1" applyAlignment="1">
      <alignment horizontal="right"/>
    </xf>
    <xf numFmtId="49" fontId="12" fillId="4" borderId="65" xfId="0" applyNumberFormat="1" applyFont="1" applyFill="1" applyBorder="1" applyAlignment="1">
      <alignment horizontal="center"/>
    </xf>
    <xf numFmtId="49" fontId="12" fillId="4" borderId="18" xfId="0" applyNumberFormat="1" applyFont="1" applyFill="1" applyBorder="1" applyAlignment="1">
      <alignment horizontal="center"/>
    </xf>
    <xf numFmtId="0" fontId="12" fillId="4" borderId="16" xfId="0" applyFont="1" applyFill="1" applyBorder="1" applyAlignment="1">
      <alignment horizontal="right"/>
    </xf>
    <xf numFmtId="0" fontId="12" fillId="4" borderId="18" xfId="0" applyFont="1" applyFill="1" applyBorder="1" applyAlignment="1">
      <alignment horizontal="right"/>
    </xf>
    <xf numFmtId="49" fontId="12" fillId="4" borderId="39" xfId="0" applyNumberFormat="1" applyFont="1" applyFill="1" applyBorder="1" applyAlignment="1">
      <alignment horizontal="center"/>
    </xf>
    <xf numFmtId="49" fontId="12" fillId="4" borderId="40" xfId="0" applyNumberFormat="1" applyFont="1" applyFill="1" applyBorder="1" applyAlignment="1">
      <alignment horizontal="center"/>
    </xf>
    <xf numFmtId="0" fontId="12" fillId="4" borderId="41" xfId="0" applyFont="1" applyFill="1" applyBorder="1" applyAlignment="1">
      <alignment horizontal="right"/>
    </xf>
    <xf numFmtId="0" fontId="12" fillId="4" borderId="40" xfId="0" applyFont="1" applyFill="1" applyBorder="1" applyAlignment="1">
      <alignment horizontal="right"/>
    </xf>
    <xf numFmtId="49" fontId="16" fillId="3" borderId="1" xfId="0" applyNumberFormat="1" applyFont="1" applyFill="1" applyBorder="1" applyAlignment="1">
      <alignment horizontal="center"/>
    </xf>
    <xf numFmtId="49" fontId="16" fillId="3" borderId="43" xfId="0" applyNumberFormat="1" applyFont="1" applyFill="1" applyBorder="1" applyAlignment="1">
      <alignment horizontal="center"/>
    </xf>
    <xf numFmtId="0" fontId="17" fillId="3" borderId="43" xfId="0" applyFont="1" applyFill="1" applyBorder="1" applyAlignment="1">
      <alignment horizontal="right"/>
    </xf>
    <xf numFmtId="49" fontId="28" fillId="4" borderId="65" xfId="0" applyNumberFormat="1" applyFont="1" applyFill="1" applyBorder="1" applyAlignment="1">
      <alignment horizontal="center"/>
    </xf>
    <xf numFmtId="49" fontId="28" fillId="4" borderId="18" xfId="0" applyNumberFormat="1" applyFont="1" applyFill="1" applyBorder="1" applyAlignment="1">
      <alignment horizontal="center"/>
    </xf>
    <xf numFmtId="0" fontId="28" fillId="4" borderId="16" xfId="0" applyFont="1" applyFill="1" applyBorder="1" applyAlignment="1">
      <alignment horizontal="right"/>
    </xf>
    <xf numFmtId="0" fontId="28" fillId="4" borderId="18" xfId="0" applyFont="1" applyFill="1" applyBorder="1" applyAlignment="1">
      <alignment horizontal="right"/>
    </xf>
    <xf numFmtId="0" fontId="32" fillId="4" borderId="9" xfId="0" applyFont="1" applyFill="1" applyBorder="1" applyAlignment="1">
      <alignment horizontal="right" wrapText="1"/>
    </xf>
    <xf numFmtId="0" fontId="12" fillId="4" borderId="8" xfId="0" applyFont="1" applyFill="1" applyBorder="1" applyAlignment="1">
      <alignment horizontal="right" wrapText="1"/>
    </xf>
    <xf numFmtId="0" fontId="12" fillId="4" borderId="9" xfId="0" applyFont="1" applyFill="1" applyBorder="1" applyAlignment="1">
      <alignment horizontal="right" wrapText="1"/>
    </xf>
    <xf numFmtId="2" fontId="24" fillId="4" borderId="8" xfId="0" applyNumberFormat="1" applyFont="1" applyFill="1" applyBorder="1" applyAlignment="1">
      <alignment horizontal="right" wrapText="1"/>
    </xf>
    <xf numFmtId="2" fontId="24" fillId="4" borderId="9" xfId="0" applyNumberFormat="1" applyFont="1" applyFill="1" applyBorder="1" applyAlignment="1">
      <alignment horizontal="right" wrapText="1"/>
    </xf>
    <xf numFmtId="164" fontId="23" fillId="0" borderId="8" xfId="0" applyNumberFormat="1" applyFont="1" applyBorder="1" applyAlignment="1">
      <alignment horizontal="right" wrapText="1"/>
    </xf>
    <xf numFmtId="0" fontId="23" fillId="0" borderId="9" xfId="0" applyFont="1" applyBorder="1" applyAlignment="1">
      <alignment horizontal="right" wrapText="1"/>
    </xf>
    <xf numFmtId="0" fontId="0" fillId="5" borderId="2" xfId="0" applyFill="1" applyBorder="1" applyAlignment="1">
      <alignment horizontal="center" wrapText="1"/>
    </xf>
    <xf numFmtId="0" fontId="12" fillId="5" borderId="55" xfId="0" applyFont="1" applyFill="1" applyBorder="1" applyAlignment="1">
      <alignment horizontal="center" vertical="top"/>
    </xf>
    <xf numFmtId="0" fontId="12" fillId="5" borderId="54" xfId="0" applyFont="1" applyFill="1" applyBorder="1" applyAlignment="1">
      <alignment horizontal="center" vertical="top"/>
    </xf>
    <xf numFmtId="49" fontId="12" fillId="6" borderId="51" xfId="0" applyNumberFormat="1" applyFont="1" applyFill="1" applyBorder="1" applyAlignment="1">
      <alignment horizontal="center"/>
    </xf>
    <xf numFmtId="49" fontId="12" fillId="6" borderId="12" xfId="0" applyNumberFormat="1" applyFont="1" applyFill="1" applyBorder="1" applyAlignment="1">
      <alignment horizontal="center"/>
    </xf>
    <xf numFmtId="2" fontId="24" fillId="3" borderId="56" xfId="0" applyNumberFormat="1" applyFont="1" applyFill="1" applyBorder="1" applyAlignment="1">
      <alignment horizontal="center" wrapText="1"/>
    </xf>
    <xf numFmtId="2" fontId="24" fillId="3" borderId="12" xfId="0" applyNumberFormat="1" applyFont="1" applyFill="1" applyBorder="1" applyAlignment="1">
      <alignment horizontal="center" wrapText="1"/>
    </xf>
    <xf numFmtId="0" fontId="16" fillId="4" borderId="8" xfId="0" applyFont="1" applyFill="1" applyBorder="1" applyAlignment="1">
      <alignment horizontal="right" wrapText="1"/>
    </xf>
    <xf numFmtId="0" fontId="16" fillId="4" borderId="9" xfId="0" applyFont="1" applyFill="1" applyBorder="1" applyAlignment="1">
      <alignment horizontal="right" wrapText="1"/>
    </xf>
    <xf numFmtId="0" fontId="28" fillId="5" borderId="2" xfId="0" applyFont="1" applyFill="1" applyBorder="1" applyAlignment="1">
      <alignment horizontal="center" vertical="top" wrapText="1"/>
    </xf>
    <xf numFmtId="2" fontId="20" fillId="4" borderId="8" xfId="0" applyNumberFormat="1" applyFont="1" applyFill="1" applyBorder="1" applyAlignment="1">
      <alignment horizontal="right" wrapText="1"/>
    </xf>
    <xf numFmtId="2" fontId="20" fillId="4" borderId="9" xfId="0" applyNumberFormat="1" applyFont="1" applyFill="1" applyBorder="1" applyAlignment="1">
      <alignment horizontal="right" wrapText="1"/>
    </xf>
    <xf numFmtId="2" fontId="24" fillId="4" borderId="8" xfId="0" applyNumberFormat="1" applyFont="1" applyFill="1" applyBorder="1" applyAlignment="1">
      <alignment horizontal="center" wrapText="1"/>
    </xf>
    <xf numFmtId="2" fontId="24" fillId="4" borderId="9" xfId="0" applyNumberFormat="1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vertical="top"/>
    </xf>
    <xf numFmtId="0" fontId="12" fillId="5" borderId="2" xfId="0" applyFont="1" applyFill="1" applyBorder="1" applyAlignment="1">
      <alignment horizontal="center" vertical="top"/>
    </xf>
    <xf numFmtId="0" fontId="28" fillId="5" borderId="2" xfId="0" applyFont="1" applyFill="1" applyBorder="1" applyAlignment="1">
      <alignment horizontal="center" vertical="top"/>
    </xf>
    <xf numFmtId="49" fontId="28" fillId="4" borderId="3" xfId="0" applyNumberFormat="1" applyFont="1" applyFill="1" applyBorder="1" applyAlignment="1">
      <alignment horizontal="center"/>
    </xf>
    <xf numFmtId="49" fontId="28" fillId="4" borderId="9" xfId="0" applyNumberFormat="1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2" fontId="1" fillId="9" borderId="7" xfId="0" applyNumberFormat="1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49" fontId="29" fillId="5" borderId="56" xfId="0" applyNumberFormat="1" applyFont="1" applyFill="1" applyBorder="1" applyAlignment="1">
      <alignment horizontal="center" vertical="top" wrapText="1"/>
    </xf>
    <xf numFmtId="0" fontId="29" fillId="5" borderId="12" xfId="0" applyFont="1" applyFill="1" applyBorder="1" applyAlignment="1">
      <alignment horizontal="center" vertical="top" wrapText="1"/>
    </xf>
    <xf numFmtId="0" fontId="28" fillId="4" borderId="8" xfId="0" applyFont="1" applyFill="1" applyBorder="1" applyAlignment="1">
      <alignment horizontal="right"/>
    </xf>
    <xf numFmtId="0" fontId="32" fillId="4" borderId="9" xfId="0" applyFont="1" applyFill="1" applyBorder="1" applyAlignment="1">
      <alignment horizontal="right"/>
    </xf>
    <xf numFmtId="0" fontId="32" fillId="4" borderId="8" xfId="0" applyFont="1" applyFill="1" applyBorder="1" applyAlignment="1">
      <alignment horizontal="right"/>
    </xf>
    <xf numFmtId="0" fontId="28" fillId="4" borderId="9" xfId="0" applyFont="1" applyFill="1" applyBorder="1" applyAlignment="1">
      <alignment horizontal="right" wrapText="1"/>
    </xf>
    <xf numFmtId="0" fontId="16" fillId="11" borderId="34" xfId="0" applyFont="1" applyFill="1" applyBorder="1" applyAlignment="1">
      <alignment horizontal="center"/>
    </xf>
    <xf numFmtId="0" fontId="32" fillId="11" borderId="14" xfId="0" applyFont="1" applyFill="1" applyBorder="1" applyAlignment="1">
      <alignment horizontal="center"/>
    </xf>
    <xf numFmtId="0" fontId="16" fillId="12" borderId="34" xfId="0" applyFont="1" applyFill="1" applyBorder="1" applyAlignment="1">
      <alignment horizontal="center"/>
    </xf>
    <xf numFmtId="0" fontId="32" fillId="12" borderId="14" xfId="0" applyFont="1" applyFill="1" applyBorder="1" applyAlignment="1">
      <alignment horizontal="center"/>
    </xf>
    <xf numFmtId="49" fontId="28" fillId="4" borderId="76" xfId="0" applyNumberFormat="1" applyFont="1" applyFill="1" applyBorder="1" applyAlignment="1">
      <alignment horizontal="center"/>
    </xf>
    <xf numFmtId="0" fontId="32" fillId="4" borderId="13" xfId="0" applyFont="1" applyFill="1" applyBorder="1" applyAlignment="1">
      <alignment horizontal="right" wrapText="1"/>
    </xf>
    <xf numFmtId="0" fontId="32" fillId="4" borderId="14" xfId="0" applyFont="1" applyFill="1" applyBorder="1" applyAlignment="1">
      <alignment horizontal="right" wrapText="1"/>
    </xf>
    <xf numFmtId="0" fontId="12" fillId="4" borderId="13" xfId="0" applyFont="1" applyFill="1" applyBorder="1" applyAlignment="1">
      <alignment horizontal="right" wrapText="1"/>
    </xf>
    <xf numFmtId="49" fontId="12" fillId="4" borderId="34" xfId="0" applyNumberFormat="1" applyFont="1" applyFill="1" applyBorder="1" applyAlignment="1">
      <alignment horizontal="center"/>
    </xf>
    <xf numFmtId="49" fontId="12" fillId="4" borderId="76" xfId="0" applyNumberFormat="1" applyFont="1" applyFill="1" applyBorder="1" applyAlignment="1">
      <alignment horizontal="center"/>
    </xf>
    <xf numFmtId="49" fontId="28" fillId="4" borderId="62" xfId="0" applyNumberFormat="1" applyFont="1" applyFill="1" applyBorder="1" applyAlignment="1">
      <alignment horizontal="center"/>
    </xf>
    <xf numFmtId="49" fontId="28" fillId="4" borderId="72" xfId="0" applyNumberFormat="1" applyFont="1" applyFill="1" applyBorder="1" applyAlignment="1">
      <alignment horizontal="center"/>
    </xf>
    <xf numFmtId="0" fontId="17" fillId="4" borderId="17" xfId="0" applyFont="1" applyFill="1" applyBorder="1" applyAlignment="1">
      <alignment horizontal="right"/>
    </xf>
    <xf numFmtId="0" fontId="35" fillId="4" borderId="18" xfId="0" applyFont="1" applyFill="1" applyBorder="1" applyAlignment="1">
      <alignment horizontal="right"/>
    </xf>
    <xf numFmtId="49" fontId="32" fillId="3" borderId="2" xfId="0" applyNumberFormat="1" applyFont="1" applyFill="1" applyBorder="1" applyAlignment="1">
      <alignment horizontal="center"/>
    </xf>
    <xf numFmtId="0" fontId="35" fillId="3" borderId="7" xfId="0" applyFont="1" applyFill="1" applyBorder="1" applyAlignment="1">
      <alignment horizontal="right"/>
    </xf>
    <xf numFmtId="0" fontId="17" fillId="4" borderId="8" xfId="0" applyFont="1" applyFill="1" applyBorder="1" applyAlignment="1">
      <alignment horizontal="right"/>
    </xf>
    <xf numFmtId="0" fontId="35" fillId="4" borderId="9" xfId="0" applyFont="1" applyFill="1" applyBorder="1" applyAlignment="1">
      <alignment horizontal="right"/>
    </xf>
    <xf numFmtId="0" fontId="38" fillId="0" borderId="0" xfId="0" applyFont="1" applyAlignment="1">
      <alignment horizontal="center"/>
    </xf>
    <xf numFmtId="0" fontId="28" fillId="5" borderId="1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49" fontId="28" fillId="5" borderId="51" xfId="0" applyNumberFormat="1" applyFont="1" applyFill="1" applyBorder="1" applyAlignment="1">
      <alignment horizontal="center"/>
    </xf>
    <xf numFmtId="0" fontId="29" fillId="5" borderId="56" xfId="0" applyFont="1" applyFill="1" applyBorder="1" applyAlignment="1">
      <alignment horizontal="center" vertical="top" wrapText="1"/>
    </xf>
    <xf numFmtId="0" fontId="29" fillId="7" borderId="8" xfId="0" applyFont="1" applyFill="1" applyBorder="1" applyAlignment="1">
      <alignment horizontal="center" vertical="top" wrapText="1"/>
    </xf>
    <xf numFmtId="0" fontId="29" fillId="7" borderId="4" xfId="0" applyFont="1" applyFill="1" applyBorder="1" applyAlignment="1">
      <alignment horizontal="center" vertical="top" wrapText="1"/>
    </xf>
    <xf numFmtId="0" fontId="29" fillId="7" borderId="9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right"/>
    </xf>
    <xf numFmtId="0" fontId="28" fillId="4" borderId="9" xfId="0" applyFont="1" applyFill="1" applyBorder="1" applyAlignment="1">
      <alignment horizontal="right"/>
    </xf>
    <xf numFmtId="0" fontId="20" fillId="7" borderId="3" xfId="0" applyFont="1" applyFill="1" applyBorder="1" applyAlignment="1">
      <alignment horizontal="right"/>
    </xf>
    <xf numFmtId="0" fontId="12" fillId="7" borderId="9" xfId="0" applyFont="1" applyFill="1" applyBorder="1" applyAlignment="1">
      <alignment horizontal="right"/>
    </xf>
    <xf numFmtId="0" fontId="16" fillId="12" borderId="3" xfId="0" applyFont="1" applyFill="1" applyBorder="1" applyAlignment="1">
      <alignment horizontal="right"/>
    </xf>
    <xf numFmtId="0" fontId="28" fillId="12" borderId="9" xfId="0" applyFont="1" applyFill="1" applyBorder="1" applyAlignment="1">
      <alignment horizontal="right"/>
    </xf>
    <xf numFmtId="0" fontId="16" fillId="12" borderId="34" xfId="0" applyFont="1" applyFill="1" applyBorder="1" applyAlignment="1">
      <alignment horizontal="right"/>
    </xf>
    <xf numFmtId="0" fontId="28" fillId="12" borderId="14" xfId="0" applyFont="1" applyFill="1" applyBorder="1" applyAlignment="1">
      <alignment horizontal="right"/>
    </xf>
    <xf numFmtId="49" fontId="44" fillId="13" borderId="34" xfId="0" applyNumberFormat="1" applyFont="1" applyFill="1" applyBorder="1" applyAlignment="1">
      <alignment horizontal="center"/>
    </xf>
    <xf numFmtId="49" fontId="44" fillId="13" borderId="76" xfId="0" applyNumberFormat="1" applyFont="1" applyFill="1" applyBorder="1" applyAlignment="1">
      <alignment horizontal="center"/>
    </xf>
    <xf numFmtId="0" fontId="45" fillId="13" borderId="3" xfId="0" applyFont="1" applyFill="1" applyBorder="1" applyAlignment="1">
      <alignment horizontal="center"/>
    </xf>
    <xf numFmtId="0" fontId="45" fillId="13" borderId="9" xfId="0" applyFont="1" applyFill="1" applyBorder="1" applyAlignment="1">
      <alignment horizontal="center"/>
    </xf>
    <xf numFmtId="49" fontId="12" fillId="4" borderId="14" xfId="0" applyNumberFormat="1" applyFont="1" applyFill="1" applyBorder="1" applyAlignment="1">
      <alignment horizontal="center"/>
    </xf>
    <xf numFmtId="2" fontId="23" fillId="0" borderId="8" xfId="0" applyNumberFormat="1" applyFont="1" applyBorder="1" applyAlignment="1">
      <alignment horizontal="right" wrapText="1"/>
    </xf>
    <xf numFmtId="2" fontId="23" fillId="0" borderId="9" xfId="0" applyNumberFormat="1" applyFont="1" applyBorder="1" applyAlignment="1">
      <alignment horizontal="right" wrapText="1"/>
    </xf>
    <xf numFmtId="0" fontId="28" fillId="4" borderId="8" xfId="0" applyFont="1" applyFill="1" applyBorder="1" applyAlignment="1">
      <alignment horizontal="right" wrapText="1"/>
    </xf>
    <xf numFmtId="2" fontId="12" fillId="4" borderId="8" xfId="0" applyNumberFormat="1" applyFont="1" applyFill="1" applyBorder="1" applyAlignment="1">
      <alignment horizontal="right" wrapText="1"/>
    </xf>
    <xf numFmtId="2" fontId="12" fillId="4" borderId="9" xfId="0" applyNumberFormat="1" applyFont="1" applyFill="1" applyBorder="1" applyAlignment="1">
      <alignment horizontal="right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2" fontId="16" fillId="4" borderId="29" xfId="0" applyNumberFormat="1" applyFont="1" applyFill="1" applyBorder="1" applyAlignment="1">
      <alignment horizontal="right" wrapText="1"/>
    </xf>
    <xf numFmtId="2" fontId="12" fillId="4" borderId="28" xfId="0" applyNumberFormat="1" applyFont="1" applyFill="1" applyBorder="1" applyAlignment="1">
      <alignment horizontal="right" wrapText="1"/>
    </xf>
    <xf numFmtId="2" fontId="12" fillId="4" borderId="23" xfId="0" applyNumberFormat="1" applyFont="1" applyFill="1" applyBorder="1" applyAlignment="1">
      <alignment horizontal="right" wrapText="1"/>
    </xf>
    <xf numFmtId="2" fontId="12" fillId="4" borderId="25" xfId="0" applyNumberFormat="1" applyFont="1" applyFill="1" applyBorder="1" applyAlignment="1">
      <alignment horizontal="right" wrapText="1"/>
    </xf>
    <xf numFmtId="2" fontId="12" fillId="4" borderId="8" xfId="0" applyNumberFormat="1" applyFont="1" applyFill="1" applyBorder="1" applyAlignment="1">
      <alignment horizontal="center" wrapText="1"/>
    </xf>
    <xf numFmtId="2" fontId="12" fillId="4" borderId="9" xfId="0" applyNumberFormat="1" applyFont="1" applyFill="1" applyBorder="1" applyAlignment="1">
      <alignment horizontal="center" wrapText="1"/>
    </xf>
    <xf numFmtId="0" fontId="23" fillId="0" borderId="8" xfId="0" applyFont="1" applyBorder="1" applyAlignment="1">
      <alignment horizontal="right" wrapText="1"/>
    </xf>
    <xf numFmtId="0" fontId="12" fillId="4" borderId="14" xfId="0" applyFont="1" applyFill="1" applyBorder="1" applyAlignment="1">
      <alignment horizontal="right" wrapText="1"/>
    </xf>
    <xf numFmtId="0" fontId="16" fillId="4" borderId="19" xfId="0" applyFont="1" applyFill="1" applyBorder="1" applyAlignment="1">
      <alignment horizontal="right"/>
    </xf>
    <xf numFmtId="0" fontId="16" fillId="4" borderId="14" xfId="0" applyFont="1" applyFill="1" applyBorder="1" applyAlignment="1">
      <alignment horizontal="right"/>
    </xf>
    <xf numFmtId="0" fontId="12" fillId="4" borderId="14" xfId="0" applyFont="1" applyFill="1" applyBorder="1" applyAlignment="1">
      <alignment horizontal="right"/>
    </xf>
    <xf numFmtId="49" fontId="12" fillId="5" borderId="34" xfId="0" applyNumberFormat="1" applyFont="1" applyFill="1" applyBorder="1" applyAlignment="1">
      <alignment horizontal="center"/>
    </xf>
    <xf numFmtId="49" fontId="28" fillId="5" borderId="14" xfId="0" applyNumberFormat="1" applyFont="1" applyFill="1" applyBorder="1" applyAlignment="1">
      <alignment horizontal="center"/>
    </xf>
    <xf numFmtId="0" fontId="17" fillId="4" borderId="9" xfId="0" applyFont="1" applyFill="1" applyBorder="1" applyAlignment="1">
      <alignment horizontal="right" wrapText="1"/>
    </xf>
    <xf numFmtId="49" fontId="12" fillId="5" borderId="14" xfId="0" applyNumberFormat="1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 wrapText="1"/>
    </xf>
    <xf numFmtId="0" fontId="27" fillId="3" borderId="7" xfId="0" applyFont="1" applyFill="1" applyBorder="1" applyAlignment="1">
      <alignment horizontal="center" wrapText="1"/>
    </xf>
    <xf numFmtId="0" fontId="27" fillId="3" borderId="2" xfId="0" applyFont="1" applyFill="1" applyBorder="1" applyAlignment="1">
      <alignment horizontal="center" wrapText="1"/>
    </xf>
    <xf numFmtId="0" fontId="26" fillId="0" borderId="0" xfId="0" applyFont="1"/>
    <xf numFmtId="49" fontId="29" fillId="5" borderId="56" xfId="0" applyNumberFormat="1" applyFont="1" applyFill="1" applyBorder="1" applyAlignment="1">
      <alignment horizontal="left" vertical="top" wrapText="1"/>
    </xf>
    <xf numFmtId="0" fontId="29" fillId="5" borderId="12" xfId="0" applyFont="1" applyFill="1" applyBorder="1" applyAlignment="1">
      <alignment horizontal="left" vertical="top" wrapText="1"/>
    </xf>
    <xf numFmtId="49" fontId="29" fillId="5" borderId="12" xfId="0" applyNumberFormat="1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right" vertical="top" wrapText="1"/>
    </xf>
    <xf numFmtId="0" fontId="23" fillId="4" borderId="9" xfId="0" applyFont="1" applyFill="1" applyBorder="1" applyAlignment="1">
      <alignment horizontal="right" vertical="top" wrapText="1"/>
    </xf>
    <xf numFmtId="0" fontId="10" fillId="0" borderId="7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40" fillId="4" borderId="0" xfId="0" applyFont="1" applyFill="1" applyAlignment="1">
      <alignment horizontal="center" textRotation="90" wrapText="1"/>
    </xf>
    <xf numFmtId="0" fontId="10" fillId="2" borderId="60" xfId="0" applyFont="1" applyFill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0" fillId="2" borderId="61" xfId="0" applyFont="1" applyFill="1" applyBorder="1" applyAlignment="1">
      <alignment horizontal="left" wrapText="1"/>
    </xf>
    <xf numFmtId="14" fontId="10" fillId="0" borderId="3" xfId="0" applyNumberFormat="1" applyFont="1" applyBorder="1" applyAlignment="1">
      <alignment horizontal="left"/>
    </xf>
    <xf numFmtId="14" fontId="61" fillId="0" borderId="4" xfId="0" applyNumberFormat="1" applyFont="1" applyBorder="1" applyAlignment="1">
      <alignment horizontal="left"/>
    </xf>
    <xf numFmtId="14" fontId="61" fillId="0" borderId="5" xfId="0" applyNumberFormat="1" applyFont="1" applyBorder="1" applyAlignment="1">
      <alignment horizontal="left"/>
    </xf>
    <xf numFmtId="49" fontId="24" fillId="3" borderId="56" xfId="0" applyNumberFormat="1" applyFont="1" applyFill="1" applyBorder="1" applyAlignment="1">
      <alignment horizontal="center" wrapText="1"/>
    </xf>
    <xf numFmtId="49" fontId="24" fillId="3" borderId="12" xfId="0" applyNumberFormat="1" applyFont="1" applyFill="1" applyBorder="1" applyAlignment="1">
      <alignment horizontal="center" wrapText="1"/>
    </xf>
    <xf numFmtId="49" fontId="24" fillId="3" borderId="56" xfId="0" applyNumberFormat="1" applyFont="1" applyFill="1" applyBorder="1" applyAlignment="1">
      <alignment horizontal="center"/>
    </xf>
    <xf numFmtId="49" fontId="24" fillId="3" borderId="12" xfId="0" applyNumberFormat="1" applyFont="1" applyFill="1" applyBorder="1" applyAlignment="1">
      <alignment horizontal="center"/>
    </xf>
    <xf numFmtId="49" fontId="12" fillId="4" borderId="16" xfId="0" applyNumberFormat="1" applyFont="1" applyFill="1" applyBorder="1" applyAlignment="1">
      <alignment horizontal="right"/>
    </xf>
    <xf numFmtId="0" fontId="24" fillId="3" borderId="56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49" fontId="23" fillId="4" borderId="8" xfId="0" applyNumberFormat="1" applyFont="1" applyFill="1" applyBorder="1" applyAlignment="1">
      <alignment horizontal="center" vertical="top" wrapText="1"/>
    </xf>
    <xf numFmtId="49" fontId="23" fillId="4" borderId="9" xfId="0" applyNumberFormat="1" applyFont="1" applyFill="1" applyBorder="1" applyAlignment="1">
      <alignment horizontal="center" vertical="top" wrapText="1"/>
    </xf>
    <xf numFmtId="49" fontId="12" fillId="4" borderId="8" xfId="0" applyNumberFormat="1" applyFont="1" applyFill="1" applyBorder="1" applyAlignment="1">
      <alignment horizontal="right" wrapText="1"/>
    </xf>
    <xf numFmtId="49" fontId="12" fillId="4" borderId="9" xfId="0" applyNumberFormat="1" applyFont="1" applyFill="1" applyBorder="1" applyAlignment="1">
      <alignment horizontal="right" wrapText="1"/>
    </xf>
    <xf numFmtId="49" fontId="23" fillId="4" borderId="8" xfId="0" applyNumberFormat="1" applyFont="1" applyFill="1" applyBorder="1" applyAlignment="1">
      <alignment horizontal="right" vertical="top" wrapText="1"/>
    </xf>
    <xf numFmtId="49" fontId="23" fillId="4" borderId="9" xfId="0" applyNumberFormat="1" applyFont="1" applyFill="1" applyBorder="1" applyAlignment="1">
      <alignment horizontal="right" vertical="top" wrapText="1"/>
    </xf>
    <xf numFmtId="2" fontId="23" fillId="4" borderId="8" xfId="0" applyNumberFormat="1" applyFont="1" applyFill="1" applyBorder="1" applyAlignment="1">
      <alignment horizontal="right" wrapText="1"/>
    </xf>
    <xf numFmtId="0" fontId="23" fillId="4" borderId="9" xfId="0" applyFont="1" applyFill="1" applyBorder="1" applyAlignment="1">
      <alignment horizontal="right" wrapText="1"/>
    </xf>
    <xf numFmtId="0" fontId="23" fillId="4" borderId="16" xfId="0" applyFont="1" applyFill="1" applyBorder="1" applyAlignment="1">
      <alignment horizontal="right" wrapText="1"/>
    </xf>
    <xf numFmtId="0" fontId="23" fillId="4" borderId="18" xfId="0" applyFont="1" applyFill="1" applyBorder="1" applyAlignment="1">
      <alignment horizontal="right" wrapText="1"/>
    </xf>
    <xf numFmtId="0" fontId="12" fillId="4" borderId="27" xfId="0" applyFont="1" applyFill="1" applyBorder="1" applyAlignment="1">
      <alignment horizontal="right" wrapText="1"/>
    </xf>
    <xf numFmtId="0" fontId="12" fillId="4" borderId="59" xfId="0" applyFont="1" applyFill="1" applyBorder="1" applyAlignment="1">
      <alignment horizontal="right" wrapText="1"/>
    </xf>
    <xf numFmtId="0" fontId="23" fillId="4" borderId="21" xfId="0" applyFont="1" applyFill="1" applyBorder="1" applyAlignment="1">
      <alignment horizontal="right" wrapText="1"/>
    </xf>
    <xf numFmtId="0" fontId="23" fillId="0" borderId="8" xfId="0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0" fillId="5" borderId="7" xfId="0" applyFill="1" applyBorder="1" applyAlignment="1">
      <alignment horizontal="center"/>
    </xf>
    <xf numFmtId="49" fontId="23" fillId="4" borderId="19" xfId="0" applyNumberFormat="1" applyFont="1" applyFill="1" applyBorder="1" applyAlignment="1">
      <alignment horizontal="right" vertical="top" wrapText="1"/>
    </xf>
    <xf numFmtId="0" fontId="22" fillId="4" borderId="14" xfId="0" applyFont="1" applyFill="1" applyBorder="1" applyAlignment="1">
      <alignment horizontal="right" vertical="top" wrapText="1"/>
    </xf>
    <xf numFmtId="0" fontId="23" fillId="0" borderId="4" xfId="0" applyFont="1" applyBorder="1" applyAlignment="1">
      <alignment horizontal="right" wrapText="1"/>
    </xf>
    <xf numFmtId="0" fontId="12" fillId="4" borderId="19" xfId="0" applyFont="1" applyFill="1" applyBorder="1" applyAlignment="1">
      <alignment horizontal="right" vertical="top" wrapText="1"/>
    </xf>
    <xf numFmtId="0" fontId="25" fillId="4" borderId="14" xfId="0" applyFont="1" applyFill="1" applyBorder="1" applyAlignment="1">
      <alignment horizontal="right" vertical="top" wrapText="1"/>
    </xf>
    <xf numFmtId="0" fontId="12" fillId="0" borderId="8" xfId="0" applyFont="1" applyBorder="1" applyAlignment="1">
      <alignment horizontal="right" wrapText="1"/>
    </xf>
    <xf numFmtId="0" fontId="12" fillId="0" borderId="4" xfId="0" applyFont="1" applyBorder="1" applyAlignment="1">
      <alignment horizontal="right" wrapText="1"/>
    </xf>
    <xf numFmtId="0" fontId="23" fillId="4" borderId="8" xfId="0" applyFont="1" applyFill="1" applyBorder="1" applyAlignment="1">
      <alignment horizontal="right" wrapText="1"/>
    </xf>
    <xf numFmtId="49" fontId="12" fillId="6" borderId="34" xfId="0" applyNumberFormat="1" applyFont="1" applyFill="1" applyBorder="1" applyAlignment="1">
      <alignment horizontal="center"/>
    </xf>
    <xf numFmtId="49" fontId="12" fillId="6" borderId="14" xfId="0" applyNumberFormat="1" applyFont="1" applyFill="1" applyBorder="1" applyAlignment="1">
      <alignment horizontal="center"/>
    </xf>
    <xf numFmtId="49" fontId="12" fillId="4" borderId="8" xfId="0" applyNumberFormat="1" applyFont="1" applyFill="1" applyBorder="1" applyAlignment="1">
      <alignment horizontal="center" wrapText="1"/>
    </xf>
    <xf numFmtId="49" fontId="12" fillId="4" borderId="9" xfId="0" applyNumberFormat="1" applyFont="1" applyFill="1" applyBorder="1" applyAlignment="1">
      <alignment horizontal="center" wrapText="1"/>
    </xf>
    <xf numFmtId="0" fontId="17" fillId="4" borderId="41" xfId="0" applyFont="1" applyFill="1" applyBorder="1" applyAlignment="1">
      <alignment horizontal="right"/>
    </xf>
    <xf numFmtId="0" fontId="21" fillId="4" borderId="40" xfId="0" applyFont="1" applyFill="1" applyBorder="1" applyAlignment="1">
      <alignment horizontal="right"/>
    </xf>
    <xf numFmtId="0" fontId="12" fillId="5" borderId="55" xfId="0" applyFont="1" applyFill="1" applyBorder="1" applyAlignment="1">
      <alignment horizontal="center" vertical="top" wrapText="1"/>
    </xf>
    <xf numFmtId="0" fontId="0" fillId="5" borderId="54" xfId="0" applyFill="1" applyBorder="1" applyAlignment="1">
      <alignment horizontal="center" wrapText="1"/>
    </xf>
    <xf numFmtId="0" fontId="0" fillId="5" borderId="26" xfId="0" applyFill="1" applyBorder="1" applyAlignment="1">
      <alignment horizontal="center"/>
    </xf>
    <xf numFmtId="0" fontId="24" fillId="6" borderId="19" xfId="0" applyFont="1" applyFill="1" applyBorder="1" applyAlignment="1">
      <alignment horizontal="center" wrapText="1"/>
    </xf>
    <xf numFmtId="0" fontId="24" fillId="6" borderId="14" xfId="0" applyFont="1" applyFill="1" applyBorder="1" applyAlignment="1">
      <alignment horizontal="center" wrapText="1"/>
    </xf>
    <xf numFmtId="0" fontId="23" fillId="4" borderId="19" xfId="0" applyFont="1" applyFill="1" applyBorder="1" applyAlignment="1">
      <alignment horizontal="right" vertical="top" wrapText="1"/>
    </xf>
    <xf numFmtId="0" fontId="38" fillId="0" borderId="0" xfId="0" applyFont="1" applyAlignment="1">
      <alignment horizontal="center" wrapText="1"/>
    </xf>
    <xf numFmtId="0" fontId="40" fillId="4" borderId="0" xfId="0" applyFont="1" applyFill="1" applyAlignment="1">
      <alignment horizontal="center" textRotation="90"/>
    </xf>
    <xf numFmtId="164" fontId="0" fillId="4" borderId="1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0" fontId="0" fillId="0" borderId="40" xfId="0" applyBorder="1" applyAlignment="1">
      <alignment horizontal="left"/>
    </xf>
    <xf numFmtId="14" fontId="48" fillId="8" borderId="30" xfId="0" applyNumberFormat="1" applyFont="1" applyFill="1" applyBorder="1" applyAlignment="1">
      <alignment horizontal="center" wrapText="1"/>
    </xf>
    <xf numFmtId="14" fontId="48" fillId="8" borderId="53" xfId="0" applyNumberFormat="1" applyFont="1" applyFill="1" applyBorder="1" applyAlignment="1">
      <alignment horizontal="center" wrapText="1"/>
    </xf>
    <xf numFmtId="0" fontId="0" fillId="0" borderId="42" xfId="0" applyBorder="1" applyAlignment="1">
      <alignment horizontal="left" wrapText="1"/>
    </xf>
    <xf numFmtId="0" fontId="1" fillId="16" borderId="47" xfId="0" applyFont="1" applyFill="1" applyBorder="1" applyAlignment="1">
      <alignment horizontal="center" vertical="center" wrapText="1"/>
    </xf>
    <xf numFmtId="0" fontId="1" fillId="16" borderId="60" xfId="0" applyFont="1" applyFill="1" applyBorder="1" applyAlignment="1">
      <alignment horizontal="center" vertical="center" wrapText="1"/>
    </xf>
    <xf numFmtId="0" fontId="1" fillId="16" borderId="55" xfId="0" applyFont="1" applyFill="1" applyBorder="1" applyAlignment="1">
      <alignment horizontal="center" vertical="center" wrapText="1"/>
    </xf>
    <xf numFmtId="164" fontId="1" fillId="16" borderId="57" xfId="0" applyNumberFormat="1" applyFont="1" applyFill="1" applyBorder="1" applyAlignment="1">
      <alignment horizontal="center" vertical="center"/>
    </xf>
    <xf numFmtId="0" fontId="1" fillId="16" borderId="8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0" fontId="1" fillId="14" borderId="7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164" fontId="39" fillId="9" borderId="91" xfId="0" applyNumberFormat="1" applyFont="1" applyFill="1" applyBorder="1" applyAlignment="1">
      <alignment horizontal="center" vertical="center"/>
    </xf>
    <xf numFmtId="164" fontId="39" fillId="9" borderId="82" xfId="0" applyNumberFormat="1" applyFont="1" applyFill="1" applyBorder="1" applyAlignment="1">
      <alignment horizontal="center" vertical="center"/>
    </xf>
    <xf numFmtId="164" fontId="0" fillId="0" borderId="56" xfId="0" applyNumberFormat="1" applyBorder="1" applyAlignment="1">
      <alignment horizontal="center" vertical="center"/>
    </xf>
    <xf numFmtId="164" fontId="39" fillId="0" borderId="16" xfId="0" applyNumberFormat="1" applyFont="1" applyBorder="1" applyAlignment="1">
      <alignment horizontal="center" vertical="center"/>
    </xf>
    <xf numFmtId="164" fontId="39" fillId="9" borderId="57" xfId="0" applyNumberFormat="1" applyFont="1" applyFill="1" applyBorder="1" applyAlignment="1">
      <alignment horizontal="center" vertical="center"/>
    </xf>
    <xf numFmtId="164" fontId="39" fillId="9" borderId="68" xfId="0" applyNumberFormat="1" applyFont="1" applyFill="1" applyBorder="1" applyAlignment="1">
      <alignment horizontal="center" vertical="center"/>
    </xf>
    <xf numFmtId="0" fontId="1" fillId="16" borderId="68" xfId="0" applyFont="1" applyFill="1" applyBorder="1" applyAlignment="1">
      <alignment horizontal="center" vertical="center"/>
    </xf>
    <xf numFmtId="164" fontId="0" fillId="0" borderId="87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39" fillId="9" borderId="30" xfId="0" applyNumberFormat="1" applyFont="1" applyFill="1" applyBorder="1" applyAlignment="1">
      <alignment horizontal="center" vertical="center"/>
    </xf>
    <xf numFmtId="164" fontId="39" fillId="9" borderId="53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164" fontId="1" fillId="6" borderId="81" xfId="0" applyNumberFormat="1" applyFont="1" applyFill="1" applyBorder="1" applyAlignment="1">
      <alignment horizontal="center" vertical="center" wrapText="1"/>
    </xf>
    <xf numFmtId="164" fontId="1" fillId="6" borderId="68" xfId="0" applyNumberFormat="1" applyFont="1" applyFill="1" applyBorder="1" applyAlignment="1">
      <alignment horizontal="center" vertical="center" wrapText="1"/>
    </xf>
    <xf numFmtId="164" fontId="1" fillId="6" borderId="8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64" fontId="39" fillId="0" borderId="8" xfId="0" applyNumberFormat="1" applyFont="1" applyBorder="1" applyAlignment="1">
      <alignment horizontal="center" vertical="center"/>
    </xf>
    <xf numFmtId="164" fontId="39" fillId="0" borderId="9" xfId="0" applyNumberFormat="1" applyFont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2" fontId="1" fillId="4" borderId="83" xfId="0" applyNumberFormat="1" applyFont="1" applyFill="1" applyBorder="1" applyAlignment="1">
      <alignment horizontal="center" vertical="center"/>
    </xf>
    <xf numFmtId="2" fontId="1" fillId="4" borderId="32" xfId="0" applyNumberFormat="1" applyFont="1" applyFill="1" applyBorder="1" applyAlignment="1">
      <alignment horizontal="center" vertical="center"/>
    </xf>
    <xf numFmtId="164" fontId="39" fillId="4" borderId="84" xfId="0" applyNumberFormat="1" applyFont="1" applyFill="1" applyBorder="1" applyAlignment="1">
      <alignment horizontal="center" vertical="center"/>
    </xf>
    <xf numFmtId="164" fontId="39" fillId="4" borderId="33" xfId="0" applyNumberFormat="1" applyFont="1" applyFill="1" applyBorder="1" applyAlignment="1">
      <alignment horizontal="center" vertical="center"/>
    </xf>
    <xf numFmtId="164" fontId="0" fillId="6" borderId="89" xfId="0" applyNumberFormat="1" applyFill="1" applyBorder="1" applyAlignment="1">
      <alignment horizontal="center" vertical="center"/>
    </xf>
    <xf numFmtId="164" fontId="0" fillId="6" borderId="66" xfId="0" applyNumberFormat="1" applyFill="1" applyBorder="1" applyAlignment="1">
      <alignment horizontal="center" vertical="center"/>
    </xf>
    <xf numFmtId="2" fontId="1" fillId="4" borderId="90" xfId="0" applyNumberFormat="1" applyFont="1" applyFill="1" applyBorder="1" applyAlignment="1">
      <alignment horizontal="center" vertical="center"/>
    </xf>
    <xf numFmtId="2" fontId="1" fillId="4" borderId="74" xfId="0" applyNumberFormat="1" applyFont="1" applyFill="1" applyBorder="1" applyAlignment="1">
      <alignment horizontal="center" vertical="center"/>
    </xf>
    <xf numFmtId="164" fontId="0" fillId="6" borderId="87" xfId="0" applyNumberFormat="1" applyFill="1" applyBorder="1" applyAlignment="1">
      <alignment horizontal="center" vertical="center"/>
    </xf>
    <xf numFmtId="164" fontId="0" fillId="6" borderId="31" xfId="0" applyNumberFormat="1" applyFill="1" applyBorder="1" applyAlignment="1">
      <alignment horizontal="center" vertical="center"/>
    </xf>
    <xf numFmtId="0" fontId="1" fillId="0" borderId="26" xfId="0" applyFont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Navadno" xfId="0" builtinId="0"/>
    <cellStyle name="Navadno 2" xfId="1" xr:uid="{00000000-0005-0000-0000-000001000000}"/>
  </cellStyles>
  <dxfs count="0"/>
  <tableStyles count="0" defaultTableStyle="TableStyleMedium2" defaultPivotStyle="PivotStyleLight16"/>
  <colors>
    <mruColors>
      <color rgb="FFE1783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0</xdr:row>
      <xdr:rowOff>0</xdr:rowOff>
    </xdr:from>
    <xdr:to>
      <xdr:col>7</xdr:col>
      <xdr:colOff>186375</xdr:colOff>
      <xdr:row>5</xdr:row>
      <xdr:rowOff>177812</xdr:rowOff>
    </xdr:to>
    <xdr:pic>
      <xdr:nvPicPr>
        <xdr:cNvPr id="392" name="Slika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0"/>
          <a:ext cx="2520000" cy="11303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95250</xdr:rowOff>
    </xdr:from>
    <xdr:to>
      <xdr:col>7</xdr:col>
      <xdr:colOff>138750</xdr:colOff>
      <xdr:row>6</xdr:row>
      <xdr:rowOff>82562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95250"/>
          <a:ext cx="2520000" cy="1130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0</xdr:row>
      <xdr:rowOff>0</xdr:rowOff>
    </xdr:from>
    <xdr:to>
      <xdr:col>9</xdr:col>
      <xdr:colOff>414975</xdr:colOff>
      <xdr:row>5</xdr:row>
      <xdr:rowOff>177812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0"/>
          <a:ext cx="2520000" cy="11303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</xdr:row>
      <xdr:rowOff>38100</xdr:rowOff>
    </xdr:from>
    <xdr:to>
      <xdr:col>2</xdr:col>
      <xdr:colOff>976950</xdr:colOff>
      <xdr:row>7</xdr:row>
      <xdr:rowOff>25412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28600"/>
          <a:ext cx="2520000" cy="11303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</xdr:row>
      <xdr:rowOff>38100</xdr:rowOff>
    </xdr:from>
    <xdr:to>
      <xdr:col>2</xdr:col>
      <xdr:colOff>1272225</xdr:colOff>
      <xdr:row>7</xdr:row>
      <xdr:rowOff>25412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CC89DAE-C18F-4252-9E4D-2CFF8701A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0" y="228600"/>
          <a:ext cx="2520000" cy="11303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lukovic\AppData\Roaming\Microsoft\Excel\CENIK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IK_št_1"/>
      <sheetName val="KALKULACIJA_CENIK_št_1"/>
      <sheetName val="CENIK em"/>
      <sheetName val="KALKULACIJA CENIK em"/>
      <sheetName val="CENIK_primerjava"/>
      <sheetName val="VPLIV NA PRORAČUN O.J."/>
      <sheetName val="VPLIV NA PRORAČUN O.Ž."/>
    </sheetNames>
    <sheetDataSet>
      <sheetData sheetId="0">
        <row r="50">
          <cell r="B50" t="str">
            <v>Unimog (razreda U300, U500)</v>
          </cell>
        </row>
        <row r="78">
          <cell r="B78" t="str">
            <v>PRIKLJUČKI ZA TOVORNA VOZILA IN TRAKTORJE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3"/>
  <sheetViews>
    <sheetView view="pageBreakPreview" topLeftCell="A115" zoomScaleNormal="100" zoomScaleSheetLayoutView="100" workbookViewId="0">
      <selection activeCell="A151" sqref="A151:D151"/>
    </sheetView>
  </sheetViews>
  <sheetFormatPr defaultRowHeight="15" x14ac:dyDescent="0.25"/>
  <cols>
    <col min="9" max="9" width="7.28515625" customWidth="1"/>
    <col min="10" max="10" width="11.42578125" customWidth="1"/>
    <col min="11" max="11" width="14.28515625" customWidth="1"/>
    <col min="13" max="13" width="8.42578125" customWidth="1"/>
  </cols>
  <sheetData>
    <row r="1" spans="1:11" x14ac:dyDescent="0.25">
      <c r="A1" s="683"/>
      <c r="B1" s="683"/>
      <c r="C1" s="683"/>
      <c r="D1" s="683"/>
      <c r="E1" s="683"/>
      <c r="F1" s="683"/>
      <c r="G1" s="683"/>
      <c r="H1" s="683"/>
      <c r="I1" s="683"/>
      <c r="J1" s="683"/>
      <c r="K1" s="683"/>
    </row>
    <row r="2" spans="1:11" x14ac:dyDescent="0.25">
      <c r="A2" s="683"/>
      <c r="B2" s="683"/>
      <c r="C2" s="683"/>
      <c r="D2" s="683"/>
      <c r="E2" s="683"/>
      <c r="F2" s="683"/>
      <c r="G2" s="683"/>
      <c r="H2" s="683"/>
      <c r="I2" s="683"/>
      <c r="J2" s="683"/>
      <c r="K2" s="683"/>
    </row>
    <row r="3" spans="1:11" x14ac:dyDescent="0.25">
      <c r="A3" s="683"/>
      <c r="B3" s="683"/>
      <c r="C3" s="683"/>
      <c r="D3" s="683"/>
      <c r="E3" s="683"/>
      <c r="F3" s="683"/>
      <c r="G3" s="683"/>
      <c r="H3" s="683"/>
      <c r="I3" s="683"/>
      <c r="J3" s="683"/>
      <c r="K3" s="683"/>
    </row>
    <row r="4" spans="1:11" x14ac:dyDescent="0.25">
      <c r="A4" s="683"/>
      <c r="B4" s="683"/>
      <c r="C4" s="683"/>
      <c r="D4" s="683"/>
      <c r="E4" s="683"/>
      <c r="F4" s="683"/>
      <c r="G4" s="683"/>
      <c r="H4" s="683"/>
      <c r="I4" s="683"/>
      <c r="J4" s="683"/>
      <c r="K4" s="683"/>
    </row>
    <row r="5" spans="1:11" x14ac:dyDescent="0.25">
      <c r="A5" s="683"/>
      <c r="B5" s="683"/>
      <c r="C5" s="683"/>
      <c r="D5" s="683"/>
      <c r="E5" s="683"/>
      <c r="F5" s="683"/>
      <c r="G5" s="683"/>
      <c r="H5" s="683"/>
      <c r="I5" s="683"/>
      <c r="J5" s="683"/>
      <c r="K5" s="683"/>
    </row>
    <row r="6" spans="1:11" x14ac:dyDescent="0.25">
      <c r="A6" s="683"/>
      <c r="B6" s="683"/>
      <c r="C6" s="683"/>
      <c r="D6" s="683"/>
      <c r="E6" s="683"/>
      <c r="F6" s="683"/>
      <c r="G6" s="683"/>
      <c r="H6" s="683"/>
      <c r="I6" s="683"/>
      <c r="J6" s="683"/>
      <c r="K6" s="683"/>
    </row>
    <row r="7" spans="1:11" ht="19.5" x14ac:dyDescent="0.35">
      <c r="A7" s="5"/>
      <c r="B7" s="658" t="s">
        <v>634</v>
      </c>
      <c r="C7" s="658"/>
      <c r="D7" s="658"/>
      <c r="E7" s="658"/>
      <c r="F7" s="658"/>
      <c r="G7" s="658"/>
      <c r="H7" s="658"/>
      <c r="I7" s="658"/>
      <c r="J7" s="658"/>
      <c r="K7" s="1"/>
    </row>
    <row r="8" spans="1:11" ht="19.5" customHeight="1" x14ac:dyDescent="0.35">
      <c r="A8" s="5"/>
      <c r="B8" s="658" t="s">
        <v>636</v>
      </c>
      <c r="C8" s="658"/>
      <c r="D8" s="658"/>
      <c r="E8" s="658"/>
      <c r="F8" s="658"/>
      <c r="G8" s="658"/>
      <c r="H8" s="658"/>
      <c r="I8" s="658"/>
      <c r="J8" s="658"/>
      <c r="K8" s="1"/>
    </row>
    <row r="9" spans="1:11" ht="21.75" customHeight="1" thickBot="1" x14ac:dyDescent="0.4">
      <c r="A9" s="5"/>
      <c r="B9" s="47"/>
      <c r="C9" s="47"/>
      <c r="D9" s="47"/>
      <c r="E9" s="47"/>
      <c r="F9" s="47"/>
      <c r="G9" s="47"/>
      <c r="H9" s="47"/>
      <c r="I9" s="47"/>
      <c r="J9" s="47"/>
      <c r="K9" s="1"/>
    </row>
    <row r="10" spans="1:11" ht="15.75" thickBot="1" x14ac:dyDescent="0.3">
      <c r="A10" s="10" t="s">
        <v>1</v>
      </c>
      <c r="B10" s="11"/>
      <c r="C10" s="707" t="s">
        <v>661</v>
      </c>
      <c r="D10" s="708"/>
      <c r="E10" s="709"/>
      <c r="F10" s="10" t="s">
        <v>0</v>
      </c>
      <c r="G10" s="11"/>
      <c r="H10" s="703">
        <v>45665</v>
      </c>
      <c r="I10" s="704"/>
      <c r="J10" s="705"/>
      <c r="K10" s="3"/>
    </row>
    <row r="11" spans="1:11" ht="8.25" customHeight="1" thickBot="1" x14ac:dyDescent="0.3">
      <c r="A11" s="12"/>
      <c r="B11" s="12"/>
      <c r="C11" s="12"/>
      <c r="D11" s="12"/>
      <c r="E11" s="12"/>
      <c r="F11" s="13"/>
      <c r="G11" s="14"/>
      <c r="H11" s="706"/>
      <c r="I11" s="706"/>
      <c r="J11" s="15"/>
      <c r="K11" s="3"/>
    </row>
    <row r="12" spans="1:11" ht="15.75" thickBot="1" x14ac:dyDescent="0.3">
      <c r="A12" s="16" t="s">
        <v>65</v>
      </c>
      <c r="B12" s="710" t="s">
        <v>2</v>
      </c>
      <c r="C12" s="711"/>
      <c r="D12" s="711"/>
      <c r="E12" s="712"/>
      <c r="F12" s="13"/>
      <c r="G12" s="14"/>
      <c r="H12" s="17"/>
      <c r="I12" s="17"/>
      <c r="J12" s="15"/>
      <c r="K12" s="3"/>
    </row>
    <row r="13" spans="1:11" ht="6" customHeight="1" x14ac:dyDescent="0.25">
      <c r="A13" s="42"/>
      <c r="B13" s="43"/>
      <c r="C13" s="43"/>
      <c r="D13" s="43"/>
      <c r="E13" s="43"/>
      <c r="F13" s="13"/>
      <c r="G13" s="14"/>
      <c r="H13" s="17"/>
      <c r="I13" s="17"/>
      <c r="J13" s="15"/>
      <c r="K13" s="3"/>
    </row>
    <row r="14" spans="1:11" x14ac:dyDescent="0.25">
      <c r="A14" s="42" t="s">
        <v>4</v>
      </c>
      <c r="B14" s="44" t="s">
        <v>76</v>
      </c>
      <c r="C14" s="43"/>
      <c r="D14" s="43"/>
      <c r="E14" s="43"/>
      <c r="F14" s="13"/>
      <c r="G14" s="14"/>
      <c r="H14" s="17"/>
      <c r="I14" s="17"/>
      <c r="J14" s="15"/>
      <c r="K14" s="3"/>
    </row>
    <row r="15" spans="1:11" ht="20.25" customHeight="1" x14ac:dyDescent="0.25">
      <c r="A15" s="42" t="s">
        <v>5</v>
      </c>
      <c r="B15" s="44" t="s">
        <v>87</v>
      </c>
      <c r="C15" s="43"/>
      <c r="D15" s="43"/>
      <c r="E15" s="43"/>
      <c r="F15" s="13"/>
      <c r="G15" s="14"/>
      <c r="H15" s="17"/>
      <c r="I15" s="17"/>
      <c r="J15" s="15"/>
      <c r="K15" s="3"/>
    </row>
    <row r="16" spans="1:11" ht="19.5" customHeight="1" x14ac:dyDescent="0.25">
      <c r="A16" s="7" t="s">
        <v>6</v>
      </c>
      <c r="B16" s="687" t="s">
        <v>3</v>
      </c>
      <c r="C16" s="687"/>
      <c r="D16" s="687"/>
      <c r="E16" s="687"/>
      <c r="F16" s="8"/>
      <c r="G16" s="9"/>
      <c r="H16" s="9"/>
      <c r="I16" s="9"/>
      <c r="J16" s="9"/>
      <c r="K16" s="2"/>
    </row>
    <row r="17" spans="1:11" ht="19.5" customHeight="1" x14ac:dyDescent="0.25">
      <c r="A17" s="7" t="s">
        <v>9</v>
      </c>
      <c r="B17" s="687" t="s">
        <v>7</v>
      </c>
      <c r="C17" s="687"/>
      <c r="D17" s="687"/>
      <c r="E17" s="687"/>
      <c r="F17" s="8"/>
      <c r="G17" s="9"/>
      <c r="H17" s="9"/>
      <c r="I17" s="9"/>
      <c r="J17" s="9"/>
      <c r="K17" s="2"/>
    </row>
    <row r="18" spans="1:11" ht="19.5" customHeight="1" x14ac:dyDescent="0.25">
      <c r="A18" s="42" t="s">
        <v>77</v>
      </c>
      <c r="B18" s="9" t="s">
        <v>175</v>
      </c>
      <c r="C18" s="9"/>
      <c r="D18" s="9"/>
      <c r="E18" s="9"/>
      <c r="F18" s="8"/>
      <c r="G18" s="9"/>
      <c r="H18" s="9"/>
      <c r="I18" s="9"/>
      <c r="J18" s="9"/>
      <c r="K18" s="2"/>
    </row>
    <row r="19" spans="1:11" ht="17.25" customHeight="1" x14ac:dyDescent="0.25">
      <c r="A19" s="42" t="s">
        <v>92</v>
      </c>
      <c r="B19" s="688" t="s">
        <v>8</v>
      </c>
      <c r="C19" s="688"/>
      <c r="D19" s="688"/>
      <c r="E19" s="688"/>
      <c r="F19" s="12"/>
      <c r="G19" s="12"/>
      <c r="H19" s="12"/>
      <c r="I19" s="12"/>
      <c r="J19" s="12"/>
    </row>
    <row r="20" spans="1:11" ht="17.25" customHeight="1" x14ac:dyDescent="0.25">
      <c r="A20" s="42" t="s">
        <v>137</v>
      </c>
      <c r="B20" s="35" t="s">
        <v>152</v>
      </c>
      <c r="C20" s="35"/>
      <c r="D20" s="35"/>
      <c r="E20" s="35"/>
      <c r="F20" s="12"/>
      <c r="G20" s="12"/>
      <c r="H20" s="12"/>
      <c r="I20" s="12"/>
      <c r="J20" s="12"/>
      <c r="K20" s="59"/>
    </row>
    <row r="21" spans="1:11" ht="17.25" customHeight="1" x14ac:dyDescent="0.25">
      <c r="A21" s="42" t="s">
        <v>147</v>
      </c>
      <c r="B21" s="35" t="s">
        <v>168</v>
      </c>
      <c r="C21" s="35"/>
      <c r="D21" s="35"/>
      <c r="E21" s="35"/>
      <c r="F21" s="12"/>
      <c r="G21" s="12"/>
      <c r="H21" s="12"/>
      <c r="I21" s="12"/>
      <c r="J21" s="12"/>
    </row>
    <row r="22" spans="1:11" ht="17.25" customHeight="1" x14ac:dyDescent="0.25">
      <c r="A22" s="42" t="s">
        <v>160</v>
      </c>
      <c r="B22" s="35" t="s">
        <v>170</v>
      </c>
      <c r="C22" s="35"/>
      <c r="D22" s="35"/>
      <c r="E22" s="35"/>
      <c r="F22" s="12"/>
      <c r="G22" s="12"/>
      <c r="H22" s="12"/>
      <c r="I22" s="12"/>
      <c r="J22" s="12"/>
      <c r="K22" s="59"/>
    </row>
    <row r="23" spans="1:11" ht="17.25" customHeight="1" thickBot="1" x14ac:dyDescent="0.3">
      <c r="A23" s="42"/>
      <c r="B23" s="35"/>
      <c r="C23" s="35"/>
      <c r="D23" s="35"/>
      <c r="E23" s="35"/>
      <c r="F23" s="12"/>
      <c r="G23" s="12"/>
      <c r="H23" s="12"/>
      <c r="I23" s="12"/>
      <c r="J23" s="12"/>
      <c r="K23" s="59"/>
    </row>
    <row r="24" spans="1:11" ht="17.25" customHeight="1" x14ac:dyDescent="0.25">
      <c r="A24" s="701" t="s">
        <v>568</v>
      </c>
      <c r="B24" s="702"/>
      <c r="C24" s="702"/>
      <c r="D24" s="548"/>
      <c r="E24" s="548"/>
      <c r="F24" s="549"/>
      <c r="G24" s="549"/>
      <c r="H24" s="549"/>
      <c r="I24" s="549"/>
      <c r="J24" s="549"/>
      <c r="K24" s="550"/>
    </row>
    <row r="25" spans="1:11" ht="17.25" customHeight="1" x14ac:dyDescent="0.25">
      <c r="A25" s="677" t="s">
        <v>625</v>
      </c>
      <c r="B25" s="678"/>
      <c r="C25" s="678"/>
      <c r="D25" s="678"/>
      <c r="E25" s="678"/>
      <c r="F25" s="678"/>
      <c r="G25" s="678"/>
      <c r="H25" s="678"/>
      <c r="I25" s="678"/>
      <c r="J25" s="678"/>
      <c r="K25" s="679"/>
    </row>
    <row r="26" spans="1:11" ht="17.25" customHeight="1" x14ac:dyDescent="0.25">
      <c r="A26" s="677" t="s">
        <v>626</v>
      </c>
      <c r="B26" s="678"/>
      <c r="C26" s="678"/>
      <c r="D26" s="678"/>
      <c r="E26" s="678"/>
      <c r="F26" s="678"/>
      <c r="G26" s="678"/>
      <c r="H26" s="678"/>
      <c r="I26" s="678"/>
      <c r="J26" s="678"/>
      <c r="K26" s="679"/>
    </row>
    <row r="27" spans="1:11" ht="17.25" customHeight="1" x14ac:dyDescent="0.25">
      <c r="A27" s="562" t="s">
        <v>627</v>
      </c>
      <c r="B27" s="44"/>
      <c r="C27" s="44"/>
      <c r="D27" s="44"/>
      <c r="E27" s="44"/>
      <c r="F27" s="44"/>
      <c r="G27" s="44"/>
      <c r="H27" s="44"/>
      <c r="I27" s="44"/>
      <c r="J27" s="44"/>
      <c r="K27" s="563"/>
    </row>
    <row r="28" spans="1:11" ht="17.25" customHeight="1" x14ac:dyDescent="0.25">
      <c r="A28" s="677" t="s">
        <v>195</v>
      </c>
      <c r="B28" s="678"/>
      <c r="C28" s="678"/>
      <c r="D28" s="678"/>
      <c r="E28" s="678"/>
      <c r="F28" s="678"/>
      <c r="G28" s="678"/>
      <c r="H28" s="678"/>
      <c r="I28" s="678"/>
      <c r="J28" s="678"/>
      <c r="K28" s="679"/>
    </row>
    <row r="29" spans="1:11" ht="17.25" customHeight="1" thickBot="1" x14ac:dyDescent="0.3">
      <c r="A29" s="718" t="s">
        <v>624</v>
      </c>
      <c r="B29" s="719"/>
      <c r="C29" s="719"/>
      <c r="D29" s="719"/>
      <c r="E29" s="719"/>
      <c r="F29" s="719"/>
      <c r="G29" s="719"/>
      <c r="H29" s="719"/>
      <c r="I29" s="719"/>
      <c r="J29" s="719"/>
      <c r="K29" s="720"/>
    </row>
    <row r="30" spans="1:11" ht="23.25" customHeight="1" thickBot="1" x14ac:dyDescent="0.3">
      <c r="A30" s="42"/>
      <c r="B30" s="35"/>
      <c r="C30" s="35"/>
      <c r="D30" s="35"/>
      <c r="E30" s="35"/>
      <c r="F30" s="12"/>
      <c r="G30" s="12"/>
      <c r="H30" s="12"/>
      <c r="I30" s="12"/>
      <c r="J30" s="12"/>
    </row>
    <row r="31" spans="1:11" x14ac:dyDescent="0.25">
      <c r="A31" s="48" t="s">
        <v>4</v>
      </c>
      <c r="B31" s="689" t="s">
        <v>76</v>
      </c>
      <c r="C31" s="690"/>
      <c r="D31" s="690"/>
      <c r="E31" s="690"/>
      <c r="F31" s="690"/>
      <c r="G31" s="690"/>
      <c r="H31" s="690"/>
      <c r="I31" s="691"/>
      <c r="J31" s="48" t="s">
        <v>10</v>
      </c>
      <c r="K31" s="62" t="s">
        <v>11</v>
      </c>
    </row>
    <row r="32" spans="1:11" s="40" customFormat="1" x14ac:dyDescent="0.25">
      <c r="A32" s="20" t="s">
        <v>19</v>
      </c>
      <c r="B32" s="692" t="s">
        <v>340</v>
      </c>
      <c r="C32" s="693"/>
      <c r="D32" s="693"/>
      <c r="E32" s="693"/>
      <c r="F32" s="693"/>
      <c r="G32" s="693"/>
      <c r="H32" s="693"/>
      <c r="I32" s="694"/>
      <c r="J32" s="20" t="s">
        <v>14</v>
      </c>
      <c r="K32" s="34">
        <f>KALKULACIJA_CENIK_št_1!H92</f>
        <v>20.747507542833958</v>
      </c>
    </row>
    <row r="33" spans="1:14" s="40" customFormat="1" x14ac:dyDescent="0.25">
      <c r="A33" s="45" t="s">
        <v>20</v>
      </c>
      <c r="B33" s="684" t="s">
        <v>357</v>
      </c>
      <c r="C33" s="685"/>
      <c r="D33" s="685"/>
      <c r="E33" s="685"/>
      <c r="F33" s="685"/>
      <c r="G33" s="685"/>
      <c r="H33" s="685"/>
      <c r="I33" s="686"/>
      <c r="J33" s="46" t="s">
        <v>14</v>
      </c>
      <c r="K33" s="34">
        <f>KALKULACIJA_CENIK_št_1!H103</f>
        <v>21.016080827612811</v>
      </c>
    </row>
    <row r="34" spans="1:14" s="40" customFormat="1" ht="30" customHeight="1" x14ac:dyDescent="0.25">
      <c r="A34" s="20" t="s">
        <v>21</v>
      </c>
      <c r="B34" s="695" t="s">
        <v>353</v>
      </c>
      <c r="C34" s="696"/>
      <c r="D34" s="696"/>
      <c r="E34" s="696"/>
      <c r="F34" s="696"/>
      <c r="G34" s="696"/>
      <c r="H34" s="696"/>
      <c r="I34" s="697"/>
      <c r="J34" s="20" t="s">
        <v>14</v>
      </c>
      <c r="K34" s="34">
        <f>KALKULACIJA_CENIK_št_1!H114</f>
        <v>29.565151586588335</v>
      </c>
    </row>
    <row r="35" spans="1:14" x14ac:dyDescent="0.25">
      <c r="A35" s="20" t="s">
        <v>125</v>
      </c>
      <c r="B35" s="653" t="s">
        <v>166</v>
      </c>
      <c r="C35" s="654"/>
      <c r="D35" s="654"/>
      <c r="E35" s="654"/>
      <c r="F35" s="654"/>
      <c r="G35" s="654"/>
      <c r="H35" s="654"/>
      <c r="I35" s="655"/>
      <c r="J35" s="25" t="s">
        <v>14</v>
      </c>
      <c r="K35" s="37">
        <f>KALKULACIJA_CENIK_št_1!H122</f>
        <v>2.0788360693317061</v>
      </c>
    </row>
    <row r="36" spans="1:14" ht="15.75" thickBot="1" x14ac:dyDescent="0.3">
      <c r="A36" s="4"/>
    </row>
    <row r="37" spans="1:14" x14ac:dyDescent="0.25">
      <c r="A37" s="48" t="s">
        <v>5</v>
      </c>
      <c r="B37" s="698" t="s">
        <v>87</v>
      </c>
      <c r="C37" s="699"/>
      <c r="D37" s="699"/>
      <c r="E37" s="699"/>
      <c r="F37" s="699"/>
      <c r="G37" s="699"/>
      <c r="H37" s="699"/>
      <c r="I37" s="699"/>
      <c r="J37" s="700"/>
      <c r="K37" s="49" t="s">
        <v>113</v>
      </c>
      <c r="L37" s="40"/>
      <c r="M37" s="40"/>
      <c r="N37" s="40"/>
    </row>
    <row r="38" spans="1:14" s="40" customFormat="1" x14ac:dyDescent="0.25">
      <c r="A38" s="20" t="s">
        <v>116</v>
      </c>
      <c r="B38" s="684" t="s">
        <v>518</v>
      </c>
      <c r="C38" s="685"/>
      <c r="D38" s="685"/>
      <c r="E38" s="685"/>
      <c r="F38" s="685"/>
      <c r="G38" s="685"/>
      <c r="H38" s="685"/>
      <c r="I38" s="685"/>
      <c r="J38" s="686"/>
      <c r="K38" s="20" t="s">
        <v>114</v>
      </c>
      <c r="L38" s="198"/>
      <c r="M38" s="198"/>
      <c r="N38" s="198"/>
    </row>
    <row r="39" spans="1:14" s="40" customFormat="1" x14ac:dyDescent="0.25">
      <c r="A39" s="45" t="s">
        <v>117</v>
      </c>
      <c r="B39" s="684" t="s">
        <v>512</v>
      </c>
      <c r="C39" s="685"/>
      <c r="D39" s="685"/>
      <c r="E39" s="685"/>
      <c r="F39" s="685"/>
      <c r="G39" s="685"/>
      <c r="H39" s="685"/>
      <c r="I39" s="685"/>
      <c r="J39" s="686"/>
      <c r="K39" s="20" t="s">
        <v>115</v>
      </c>
      <c r="L39" s="198"/>
      <c r="M39" s="198"/>
      <c r="N39" s="198"/>
    </row>
    <row r="40" spans="1:14" s="40" customFormat="1" x14ac:dyDescent="0.25">
      <c r="A40" s="20" t="s">
        <v>118</v>
      </c>
      <c r="B40" s="684" t="s">
        <v>511</v>
      </c>
      <c r="C40" s="685"/>
      <c r="D40" s="685"/>
      <c r="E40" s="685"/>
      <c r="F40" s="685"/>
      <c r="G40" s="685"/>
      <c r="H40" s="685"/>
      <c r="I40" s="685"/>
      <c r="J40" s="686"/>
      <c r="K40" s="20" t="s">
        <v>115</v>
      </c>
      <c r="L40" s="198"/>
      <c r="M40" s="198"/>
      <c r="N40" s="198"/>
    </row>
    <row r="41" spans="1:14" s="40" customFormat="1" x14ac:dyDescent="0.25">
      <c r="A41" s="20" t="s">
        <v>119</v>
      </c>
      <c r="B41" s="684" t="s">
        <v>513</v>
      </c>
      <c r="C41" s="685"/>
      <c r="D41" s="685"/>
      <c r="E41" s="685"/>
      <c r="F41" s="685"/>
      <c r="G41" s="685"/>
      <c r="H41" s="685"/>
      <c r="I41" s="685"/>
      <c r="J41" s="686"/>
      <c r="K41" s="20" t="s">
        <v>514</v>
      </c>
      <c r="L41" s="198"/>
      <c r="M41" s="198"/>
      <c r="N41" s="198"/>
    </row>
    <row r="42" spans="1:14" s="40" customFormat="1" x14ac:dyDescent="0.25">
      <c r="A42" s="20" t="s">
        <v>120</v>
      </c>
      <c r="B42" s="684" t="s">
        <v>531</v>
      </c>
      <c r="C42" s="685"/>
      <c r="D42" s="685"/>
      <c r="E42" s="685"/>
      <c r="F42" s="685"/>
      <c r="G42" s="685"/>
      <c r="H42" s="685"/>
      <c r="I42" s="685"/>
      <c r="J42" s="686"/>
      <c r="K42" s="20" t="s">
        <v>121</v>
      </c>
      <c r="L42" s="198"/>
      <c r="M42" s="198"/>
      <c r="N42" s="198"/>
    </row>
    <row r="43" spans="1:14" s="40" customFormat="1" x14ac:dyDescent="0.25">
      <c r="A43" s="45" t="s">
        <v>515</v>
      </c>
      <c r="B43" s="684" t="s">
        <v>530</v>
      </c>
      <c r="C43" s="685"/>
      <c r="D43" s="685"/>
      <c r="E43" s="685"/>
      <c r="F43" s="685"/>
      <c r="G43" s="685"/>
      <c r="H43" s="685"/>
      <c r="I43" s="685"/>
      <c r="J43" s="686"/>
      <c r="K43" s="20" t="s">
        <v>121</v>
      </c>
      <c r="L43" s="198"/>
      <c r="M43" s="198"/>
      <c r="N43" s="198"/>
    </row>
    <row r="44" spans="1:14" s="40" customFormat="1" x14ac:dyDescent="0.25">
      <c r="A44" s="45" t="s">
        <v>516</v>
      </c>
      <c r="B44" s="684" t="s">
        <v>524</v>
      </c>
      <c r="C44" s="685"/>
      <c r="D44" s="685"/>
      <c r="E44" s="685"/>
      <c r="F44" s="685"/>
      <c r="G44" s="685"/>
      <c r="H44" s="685"/>
      <c r="I44" s="685"/>
      <c r="J44" s="686"/>
      <c r="K44" s="20" t="s">
        <v>523</v>
      </c>
      <c r="L44" s="198"/>
      <c r="M44" s="198"/>
      <c r="N44" s="198"/>
    </row>
    <row r="45" spans="1:14" s="40" customFormat="1" x14ac:dyDescent="0.25">
      <c r="A45" s="45" t="s">
        <v>517</v>
      </c>
      <c r="B45" s="684" t="s">
        <v>519</v>
      </c>
      <c r="C45" s="685"/>
      <c r="D45" s="685"/>
      <c r="E45" s="685"/>
      <c r="F45" s="685"/>
      <c r="G45" s="685"/>
      <c r="H45" s="685"/>
      <c r="I45" s="685"/>
      <c r="J45" s="686"/>
      <c r="K45" s="20" t="s">
        <v>122</v>
      </c>
      <c r="L45" s="198"/>
      <c r="M45" s="198"/>
      <c r="N45" s="198"/>
    </row>
    <row r="46" spans="1:14" s="40" customFormat="1" x14ac:dyDescent="0.25">
      <c r="A46" s="45" t="s">
        <v>526</v>
      </c>
      <c r="B46" s="684" t="s">
        <v>525</v>
      </c>
      <c r="C46" s="685"/>
      <c r="D46" s="685"/>
      <c r="E46" s="685"/>
      <c r="F46" s="685"/>
      <c r="G46" s="685"/>
      <c r="H46" s="685"/>
      <c r="I46" s="685"/>
      <c r="J46" s="686"/>
      <c r="K46" s="20" t="s">
        <v>522</v>
      </c>
      <c r="L46" s="198"/>
      <c r="M46" s="198"/>
      <c r="N46" s="198"/>
    </row>
    <row r="47" spans="1:14" s="40" customFormat="1" x14ac:dyDescent="0.25">
      <c r="A47" s="45" t="s">
        <v>527</v>
      </c>
      <c r="B47" s="684" t="s">
        <v>520</v>
      </c>
      <c r="C47" s="685"/>
      <c r="D47" s="685"/>
      <c r="E47" s="685"/>
      <c r="F47" s="685"/>
      <c r="G47" s="685"/>
      <c r="H47" s="685"/>
      <c r="I47" s="685"/>
      <c r="J47" s="686"/>
      <c r="K47" s="20" t="s">
        <v>522</v>
      </c>
      <c r="L47" s="198"/>
      <c r="M47" s="198"/>
      <c r="N47" s="198"/>
    </row>
    <row r="48" spans="1:14" s="40" customFormat="1" x14ac:dyDescent="0.25">
      <c r="A48" s="45" t="s">
        <v>528</v>
      </c>
      <c r="B48" s="684" t="s">
        <v>529</v>
      </c>
      <c r="C48" s="685"/>
      <c r="D48" s="685"/>
      <c r="E48" s="685"/>
      <c r="F48" s="685"/>
      <c r="G48" s="685"/>
      <c r="H48" s="685"/>
      <c r="I48" s="685"/>
      <c r="J48" s="686"/>
      <c r="K48" s="20" t="s">
        <v>522</v>
      </c>
      <c r="L48" s="198"/>
      <c r="M48" s="198"/>
      <c r="N48" s="198"/>
    </row>
    <row r="49" spans="1:14" s="40" customFormat="1" x14ac:dyDescent="0.25">
      <c r="A49" s="45" t="s">
        <v>532</v>
      </c>
      <c r="B49" s="684" t="s">
        <v>521</v>
      </c>
      <c r="C49" s="685"/>
      <c r="D49" s="685"/>
      <c r="E49" s="685"/>
      <c r="F49" s="685"/>
      <c r="G49" s="685"/>
      <c r="H49" s="685"/>
      <c r="I49" s="685"/>
      <c r="J49" s="686"/>
      <c r="K49" s="20" t="s">
        <v>523</v>
      </c>
      <c r="L49" s="198"/>
      <c r="M49" s="198"/>
      <c r="N49" s="198"/>
    </row>
    <row r="50" spans="1:14" ht="15.75" thickBot="1" x14ac:dyDescent="0.3">
      <c r="A50" s="4"/>
    </row>
    <row r="51" spans="1:14" ht="15.75" thickBot="1" x14ac:dyDescent="0.3">
      <c r="A51" s="48" t="s">
        <v>6</v>
      </c>
      <c r="B51" s="663" t="s">
        <v>3</v>
      </c>
      <c r="C51" s="664"/>
      <c r="D51" s="664"/>
      <c r="E51" s="664"/>
      <c r="F51" s="664"/>
      <c r="G51" s="664"/>
      <c r="H51" s="664"/>
      <c r="I51" s="665"/>
      <c r="J51" s="50" t="s">
        <v>10</v>
      </c>
      <c r="K51" s="50" t="s">
        <v>11</v>
      </c>
    </row>
    <row r="52" spans="1:14" x14ac:dyDescent="0.25">
      <c r="A52" s="20" t="s">
        <v>27</v>
      </c>
      <c r="B52" s="713" t="s">
        <v>12</v>
      </c>
      <c r="C52" s="713"/>
      <c r="D52" s="713"/>
      <c r="E52" s="713"/>
      <c r="F52" s="713"/>
      <c r="G52" s="713"/>
      <c r="H52" s="713"/>
      <c r="I52" s="714"/>
      <c r="J52" s="18" t="s">
        <v>14</v>
      </c>
      <c r="K52" s="34">
        <f>KALKULACIJA_CENIK_št_1!I136</f>
        <v>27.554746642320413</v>
      </c>
    </row>
    <row r="53" spans="1:14" x14ac:dyDescent="0.25">
      <c r="A53" s="20" t="s">
        <v>28</v>
      </c>
      <c r="B53" s="662" t="s">
        <v>15</v>
      </c>
      <c r="C53" s="662"/>
      <c r="D53" s="662"/>
      <c r="E53" s="662"/>
      <c r="F53" s="662"/>
      <c r="G53" s="662"/>
      <c r="H53" s="662"/>
      <c r="I53" s="662"/>
      <c r="J53" s="25" t="s">
        <v>14</v>
      </c>
      <c r="K53" s="37">
        <f>KALKULACIJA_CENIK_št_1!I150</f>
        <v>35.022206719540229</v>
      </c>
    </row>
    <row r="54" spans="1:14" x14ac:dyDescent="0.25">
      <c r="A54" s="20" t="s">
        <v>29</v>
      </c>
      <c r="B54" s="659" t="s">
        <v>13</v>
      </c>
      <c r="C54" s="660"/>
      <c r="D54" s="660"/>
      <c r="E54" s="660"/>
      <c r="F54" s="660"/>
      <c r="G54" s="660"/>
      <c r="H54" s="660"/>
      <c r="I54" s="661"/>
      <c r="J54" s="18" t="s">
        <v>14</v>
      </c>
      <c r="K54" s="34">
        <f>KALKULACIJA_CENIK_št_1!I164</f>
        <v>33.810121642320418</v>
      </c>
    </row>
    <row r="55" spans="1:14" x14ac:dyDescent="0.25">
      <c r="A55" s="20" t="s">
        <v>30</v>
      </c>
      <c r="B55" s="653" t="s">
        <v>333</v>
      </c>
      <c r="C55" s="654"/>
      <c r="D55" s="654"/>
      <c r="E55" s="654"/>
      <c r="F55" s="654"/>
      <c r="G55" s="654"/>
      <c r="H55" s="654"/>
      <c r="I55" s="655"/>
      <c r="J55" s="18" t="s">
        <v>14</v>
      </c>
      <c r="K55" s="34">
        <f>KALKULACIJA_CENIK_št_1!I178</f>
        <v>46.527721642320408</v>
      </c>
    </row>
    <row r="56" spans="1:14" x14ac:dyDescent="0.25">
      <c r="A56" s="20" t="s">
        <v>31</v>
      </c>
      <c r="B56" s="653" t="s">
        <v>540</v>
      </c>
      <c r="C56" s="654"/>
      <c r="D56" s="654"/>
      <c r="E56" s="654"/>
      <c r="F56" s="654"/>
      <c r="G56" s="654"/>
      <c r="H56" s="654"/>
      <c r="I56" s="655"/>
      <c r="J56" s="18" t="s">
        <v>14</v>
      </c>
      <c r="K56" s="34">
        <f>KALKULACIJA_CENIK_št_1!I192</f>
        <v>50.025009142320414</v>
      </c>
    </row>
    <row r="57" spans="1:14" x14ac:dyDescent="0.25">
      <c r="A57" s="20" t="s">
        <v>32</v>
      </c>
      <c r="B57" s="659" t="s">
        <v>334</v>
      </c>
      <c r="C57" s="660"/>
      <c r="D57" s="660"/>
      <c r="E57" s="660"/>
      <c r="F57" s="660"/>
      <c r="G57" s="660"/>
      <c r="H57" s="660"/>
      <c r="I57" s="661"/>
      <c r="J57" s="18" t="s">
        <v>14</v>
      </c>
      <c r="K57" s="34">
        <f>KALKULACIJA_CENIK_št_1!I207</f>
        <v>58.971621642320414</v>
      </c>
    </row>
    <row r="58" spans="1:14" x14ac:dyDescent="0.25">
      <c r="A58" s="20" t="s">
        <v>33</v>
      </c>
      <c r="B58" s="653" t="s">
        <v>335</v>
      </c>
      <c r="C58" s="654"/>
      <c r="D58" s="654"/>
      <c r="E58" s="654"/>
      <c r="F58" s="654"/>
      <c r="G58" s="654"/>
      <c r="H58" s="654"/>
      <c r="I58" s="655"/>
      <c r="J58" s="25" t="s">
        <v>14</v>
      </c>
      <c r="K58" s="37">
        <f>KALKULACIJA_CENIK_št_1!I220</f>
        <v>61.796996642320408</v>
      </c>
    </row>
    <row r="59" spans="1:14" x14ac:dyDescent="0.25">
      <c r="A59" s="20" t="s">
        <v>35</v>
      </c>
      <c r="B59" s="659" t="s">
        <v>354</v>
      </c>
      <c r="C59" s="660"/>
      <c r="D59" s="660"/>
      <c r="E59" s="660"/>
      <c r="F59" s="660"/>
      <c r="G59" s="660"/>
      <c r="H59" s="660"/>
      <c r="I59" s="661"/>
      <c r="J59" s="18" t="s">
        <v>14</v>
      </c>
      <c r="K59" s="34">
        <f>KALKULACIJA_CENIK_št_1!I233</f>
        <v>72.183246642320412</v>
      </c>
    </row>
    <row r="60" spans="1:14" x14ac:dyDescent="0.25">
      <c r="A60" s="20" t="s">
        <v>36</v>
      </c>
      <c r="B60" s="653" t="s">
        <v>26</v>
      </c>
      <c r="C60" s="654"/>
      <c r="D60" s="654"/>
      <c r="E60" s="654"/>
      <c r="F60" s="654"/>
      <c r="G60" s="654"/>
      <c r="H60" s="654"/>
      <c r="I60" s="655"/>
      <c r="J60" s="25" t="s">
        <v>14</v>
      </c>
      <c r="K60" s="37">
        <f>KALKULACIJA_CENIK_št_1!I247</f>
        <v>54.531191086764849</v>
      </c>
    </row>
    <row r="61" spans="1:14" x14ac:dyDescent="0.25">
      <c r="A61" s="20" t="s">
        <v>45</v>
      </c>
      <c r="B61" s="653" t="s">
        <v>73</v>
      </c>
      <c r="C61" s="654"/>
      <c r="D61" s="654"/>
      <c r="E61" s="654"/>
      <c r="F61" s="654"/>
      <c r="G61" s="654"/>
      <c r="H61" s="654"/>
      <c r="I61" s="655"/>
      <c r="J61" s="25" t="s">
        <v>14</v>
      </c>
      <c r="K61" s="37">
        <f>KALKULACIJA_CENIK_št_1!I260</f>
        <v>96.600996642320411</v>
      </c>
    </row>
    <row r="62" spans="1:14" x14ac:dyDescent="0.25">
      <c r="A62" s="20" t="s">
        <v>46</v>
      </c>
      <c r="B62" s="653" t="s">
        <v>652</v>
      </c>
      <c r="C62" s="654"/>
      <c r="D62" s="654"/>
      <c r="E62" s="654"/>
      <c r="F62" s="654"/>
      <c r="G62" s="654"/>
      <c r="H62" s="654"/>
      <c r="I62" s="655"/>
      <c r="J62" s="18" t="s">
        <v>14</v>
      </c>
      <c r="K62" s="34">
        <f>KALKULACIJA_CENIK_št_1!I273</f>
        <v>81.078496642320403</v>
      </c>
    </row>
    <row r="63" spans="1:14" x14ac:dyDescent="0.25">
      <c r="A63" s="20" t="s">
        <v>47</v>
      </c>
      <c r="B63" s="653" t="s">
        <v>498</v>
      </c>
      <c r="C63" s="654"/>
      <c r="D63" s="654"/>
      <c r="E63" s="654"/>
      <c r="F63" s="654"/>
      <c r="G63" s="654"/>
      <c r="H63" s="654"/>
      <c r="I63" s="655"/>
      <c r="J63" s="18" t="s">
        <v>14</v>
      </c>
      <c r="K63" s="34">
        <f>KALKULACIJA_CENIK_št_1!I286</f>
        <v>55.92341330898708</v>
      </c>
    </row>
    <row r="64" spans="1:14" x14ac:dyDescent="0.25">
      <c r="A64" s="20" t="s">
        <v>48</v>
      </c>
      <c r="B64" s="660" t="s">
        <v>16</v>
      </c>
      <c r="C64" s="660"/>
      <c r="D64" s="660"/>
      <c r="E64" s="660"/>
      <c r="F64" s="660"/>
      <c r="G64" s="660"/>
      <c r="H64" s="660"/>
      <c r="I64" s="661"/>
      <c r="J64" s="18" t="s">
        <v>14</v>
      </c>
      <c r="K64" s="34">
        <f>KALKULACIJA_CENIK_št_1!I299</f>
        <v>82.279996642320413</v>
      </c>
    </row>
    <row r="65" spans="1:11" ht="15.75" thickBot="1" x14ac:dyDescent="0.3">
      <c r="A65" s="20" t="s">
        <v>50</v>
      </c>
      <c r="B65" s="715" t="s">
        <v>336</v>
      </c>
      <c r="C65" s="716"/>
      <c r="D65" s="716"/>
      <c r="E65" s="716"/>
      <c r="F65" s="716"/>
      <c r="G65" s="716"/>
      <c r="H65" s="716"/>
      <c r="I65" s="717"/>
      <c r="J65" s="21" t="s">
        <v>14</v>
      </c>
      <c r="K65" s="36">
        <f>KALKULACIJA_CENIK_št_1!I312</f>
        <v>83.645163308987094</v>
      </c>
    </row>
    <row r="66" spans="1:11" ht="15.75" thickTop="1" x14ac:dyDescent="0.25">
      <c r="A66" s="20" t="s">
        <v>497</v>
      </c>
      <c r="B66" s="659" t="s">
        <v>613</v>
      </c>
      <c r="C66" s="660"/>
      <c r="D66" s="660"/>
      <c r="E66" s="660"/>
      <c r="F66" s="660"/>
      <c r="G66" s="660"/>
      <c r="H66" s="660"/>
      <c r="I66" s="661"/>
      <c r="J66" s="18" t="s">
        <v>14</v>
      </c>
      <c r="K66" s="34">
        <f>KALKULACIJA_CENIK_št_1!I326</f>
        <v>41.108934142320408</v>
      </c>
    </row>
    <row r="67" spans="1:11" x14ac:dyDescent="0.25">
      <c r="A67" s="20" t="s">
        <v>539</v>
      </c>
      <c r="B67" s="653" t="s">
        <v>614</v>
      </c>
      <c r="C67" s="654"/>
      <c r="D67" s="654"/>
      <c r="E67" s="654"/>
      <c r="F67" s="654"/>
      <c r="G67" s="654"/>
      <c r="H67" s="654"/>
      <c r="I67" s="655"/>
      <c r="J67" s="18" t="s">
        <v>14</v>
      </c>
      <c r="K67" s="34">
        <f>KALKULACIJA_CENIK_št_1!I339</f>
        <v>45.533371642320411</v>
      </c>
    </row>
    <row r="68" spans="1:11" x14ac:dyDescent="0.25">
      <c r="A68" s="20" t="s">
        <v>88</v>
      </c>
      <c r="B68" s="653" t="s">
        <v>615</v>
      </c>
      <c r="C68" s="654"/>
      <c r="D68" s="654"/>
      <c r="E68" s="654"/>
      <c r="F68" s="654"/>
      <c r="G68" s="654"/>
      <c r="H68" s="654"/>
      <c r="I68" s="655"/>
      <c r="J68" s="25" t="s">
        <v>14</v>
      </c>
      <c r="K68" s="37">
        <f>KALKULACIJA_CENIK_št_1!I352</f>
        <v>49.574996642320414</v>
      </c>
    </row>
    <row r="69" spans="1:11" x14ac:dyDescent="0.25">
      <c r="A69" s="20" t="s">
        <v>89</v>
      </c>
      <c r="B69" s="653" t="s">
        <v>616</v>
      </c>
      <c r="C69" s="654"/>
      <c r="D69" s="654"/>
      <c r="E69" s="654"/>
      <c r="F69" s="654"/>
      <c r="G69" s="654"/>
      <c r="H69" s="654"/>
      <c r="I69" s="655"/>
      <c r="J69" s="25" t="s">
        <v>14</v>
      </c>
      <c r="K69" s="37">
        <f>KALKULACIJA_CENIK_št_1!I365</f>
        <v>57.970341719540237</v>
      </c>
    </row>
    <row r="70" spans="1:11" x14ac:dyDescent="0.25">
      <c r="A70" s="20" t="s">
        <v>585</v>
      </c>
      <c r="B70" s="673" t="s">
        <v>581</v>
      </c>
      <c r="C70" s="673"/>
      <c r="D70" s="673"/>
      <c r="E70" s="673"/>
      <c r="F70" s="673"/>
      <c r="G70" s="673"/>
      <c r="H70" s="673"/>
      <c r="I70" s="674"/>
      <c r="J70" s="574" t="s">
        <v>14</v>
      </c>
      <c r="K70" s="572">
        <v>59.4</v>
      </c>
    </row>
    <row r="71" spans="1:11" x14ac:dyDescent="0.25">
      <c r="A71" s="20" t="s">
        <v>586</v>
      </c>
      <c r="B71" s="673" t="s">
        <v>582</v>
      </c>
      <c r="C71" s="673"/>
      <c r="D71" s="673"/>
      <c r="E71" s="673"/>
      <c r="F71" s="673"/>
      <c r="G71" s="673"/>
      <c r="H71" s="673"/>
      <c r="I71" s="674"/>
      <c r="J71" s="574" t="s">
        <v>14</v>
      </c>
      <c r="K71" s="572">
        <v>57.2</v>
      </c>
    </row>
    <row r="72" spans="1:11" x14ac:dyDescent="0.25">
      <c r="A72" s="20" t="s">
        <v>617</v>
      </c>
      <c r="B72" s="673" t="s">
        <v>583</v>
      </c>
      <c r="C72" s="673"/>
      <c r="D72" s="673"/>
      <c r="E72" s="673"/>
      <c r="F72" s="673"/>
      <c r="G72" s="673"/>
      <c r="H72" s="673"/>
      <c r="I72" s="674"/>
      <c r="J72" s="574" t="s">
        <v>14</v>
      </c>
      <c r="K72" s="572">
        <v>49.5</v>
      </c>
    </row>
    <row r="73" spans="1:11" x14ac:dyDescent="0.25">
      <c r="A73" s="20" t="s">
        <v>649</v>
      </c>
      <c r="B73" s="673" t="s">
        <v>588</v>
      </c>
      <c r="C73" s="673"/>
      <c r="D73" s="673"/>
      <c r="E73" s="673"/>
      <c r="F73" s="673"/>
      <c r="G73" s="673"/>
      <c r="H73" s="673"/>
      <c r="I73" s="674"/>
      <c r="J73" s="574" t="s">
        <v>584</v>
      </c>
      <c r="K73" s="572">
        <v>1.54</v>
      </c>
    </row>
    <row r="74" spans="1:11" ht="16.5" customHeight="1" thickBot="1" x14ac:dyDescent="0.3">
      <c r="A74" s="22"/>
      <c r="B74" s="23"/>
      <c r="C74" s="23"/>
      <c r="D74" s="23"/>
      <c r="E74" s="23"/>
      <c r="F74" s="23"/>
      <c r="G74" s="23"/>
      <c r="H74" s="23"/>
      <c r="I74" s="23"/>
      <c r="J74" s="24"/>
      <c r="K74" s="38"/>
    </row>
    <row r="75" spans="1:11" ht="15.75" thickBot="1" x14ac:dyDescent="0.3">
      <c r="A75" s="50" t="s">
        <v>9</v>
      </c>
      <c r="B75" s="663" t="s">
        <v>7</v>
      </c>
      <c r="C75" s="664"/>
      <c r="D75" s="664"/>
      <c r="E75" s="664"/>
      <c r="F75" s="664"/>
      <c r="G75" s="664"/>
      <c r="H75" s="664"/>
      <c r="I75" s="665"/>
      <c r="J75" s="50" t="s">
        <v>10</v>
      </c>
      <c r="K75" s="51" t="s">
        <v>11</v>
      </c>
    </row>
    <row r="76" spans="1:11" x14ac:dyDescent="0.25">
      <c r="A76" s="523" t="s">
        <v>52</v>
      </c>
      <c r="B76" s="680" t="s">
        <v>34</v>
      </c>
      <c r="C76" s="681"/>
      <c r="D76" s="681"/>
      <c r="E76" s="681"/>
      <c r="F76" s="681"/>
      <c r="G76" s="681"/>
      <c r="H76" s="681"/>
      <c r="I76" s="682"/>
      <c r="J76" s="524" t="s">
        <v>14</v>
      </c>
      <c r="K76" s="525">
        <f>KALKULACIJA_CENIK_št_1!I379</f>
        <v>45.263871642320417</v>
      </c>
    </row>
    <row r="77" spans="1:11" x14ac:dyDescent="0.25">
      <c r="A77" s="526" t="s">
        <v>54</v>
      </c>
      <c r="B77" s="653" t="s">
        <v>43</v>
      </c>
      <c r="C77" s="654"/>
      <c r="D77" s="654"/>
      <c r="E77" s="654"/>
      <c r="F77" s="654"/>
      <c r="G77" s="654"/>
      <c r="H77" s="654"/>
      <c r="I77" s="655"/>
      <c r="J77" s="25" t="s">
        <v>14</v>
      </c>
      <c r="K77" s="264">
        <f>KALKULACIJA_CENIK_št_1!I392</f>
        <v>35.062596642320408</v>
      </c>
    </row>
    <row r="78" spans="1:11" x14ac:dyDescent="0.25">
      <c r="A78" s="262" t="s">
        <v>55</v>
      </c>
      <c r="B78" s="659" t="s">
        <v>44</v>
      </c>
      <c r="C78" s="660"/>
      <c r="D78" s="660"/>
      <c r="E78" s="660"/>
      <c r="F78" s="660"/>
      <c r="G78" s="660"/>
      <c r="H78" s="660"/>
      <c r="I78" s="661"/>
      <c r="J78" s="18" t="s">
        <v>14</v>
      </c>
      <c r="K78" s="263">
        <f>KALKULACIJA_CENIK_št_1!I406</f>
        <v>78.361184142320411</v>
      </c>
    </row>
    <row r="79" spans="1:11" x14ac:dyDescent="0.25">
      <c r="A79" s="526" t="s">
        <v>58</v>
      </c>
      <c r="B79" s="653" t="s">
        <v>49</v>
      </c>
      <c r="C79" s="654"/>
      <c r="D79" s="654"/>
      <c r="E79" s="654"/>
      <c r="F79" s="654"/>
      <c r="G79" s="654"/>
      <c r="H79" s="654"/>
      <c r="I79" s="655"/>
      <c r="J79" s="25" t="s">
        <v>14</v>
      </c>
      <c r="K79" s="264">
        <f>KALKULACIJA_CENIK_št_1!I419</f>
        <v>34.364515160838934</v>
      </c>
    </row>
    <row r="80" spans="1:11" x14ac:dyDescent="0.25">
      <c r="A80" s="575" t="s">
        <v>580</v>
      </c>
      <c r="B80" s="676" t="s">
        <v>648</v>
      </c>
      <c r="C80" s="676"/>
      <c r="D80" s="676"/>
      <c r="E80" s="676"/>
      <c r="F80" s="676"/>
      <c r="G80" s="676"/>
      <c r="H80" s="676"/>
      <c r="I80" s="670"/>
      <c r="J80" s="576" t="s">
        <v>14</v>
      </c>
      <c r="K80" s="577">
        <v>37.4</v>
      </c>
    </row>
    <row r="81" spans="1:11" x14ac:dyDescent="0.25">
      <c r="A81" s="575" t="s">
        <v>587</v>
      </c>
      <c r="B81" s="676" t="s">
        <v>589</v>
      </c>
      <c r="C81" s="676"/>
      <c r="D81" s="676"/>
      <c r="E81" s="676"/>
      <c r="F81" s="676"/>
      <c r="G81" s="676"/>
      <c r="H81" s="676"/>
      <c r="I81" s="670"/>
      <c r="J81" s="576" t="s">
        <v>14</v>
      </c>
      <c r="K81" s="577">
        <v>46.2</v>
      </c>
    </row>
    <row r="82" spans="1:11" x14ac:dyDescent="0.25">
      <c r="A82" s="575" t="s">
        <v>591</v>
      </c>
      <c r="B82" s="676" t="s">
        <v>590</v>
      </c>
      <c r="C82" s="676"/>
      <c r="D82" s="676"/>
      <c r="E82" s="676"/>
      <c r="F82" s="676"/>
      <c r="G82" s="676"/>
      <c r="H82" s="676"/>
      <c r="I82" s="670"/>
      <c r="J82" s="576" t="s">
        <v>14</v>
      </c>
      <c r="K82" s="577">
        <v>33</v>
      </c>
    </row>
    <row r="83" spans="1:11" x14ac:dyDescent="0.25">
      <c r="A83" s="575" t="s">
        <v>593</v>
      </c>
      <c r="B83" s="676" t="s">
        <v>592</v>
      </c>
      <c r="C83" s="676"/>
      <c r="D83" s="676"/>
      <c r="E83" s="676"/>
      <c r="F83" s="676"/>
      <c r="G83" s="676"/>
      <c r="H83" s="676"/>
      <c r="I83" s="670"/>
      <c r="J83" s="576" t="s">
        <v>14</v>
      </c>
      <c r="K83" s="577">
        <v>40.700000000000003</v>
      </c>
    </row>
    <row r="84" spans="1:11" x14ac:dyDescent="0.25">
      <c r="A84" s="575" t="s">
        <v>593</v>
      </c>
      <c r="B84" s="676" t="s">
        <v>594</v>
      </c>
      <c r="C84" s="676"/>
      <c r="D84" s="676"/>
      <c r="E84" s="676"/>
      <c r="F84" s="676"/>
      <c r="G84" s="676"/>
      <c r="H84" s="676"/>
      <c r="I84" s="670"/>
      <c r="J84" s="576" t="s">
        <v>14</v>
      </c>
      <c r="K84" s="577">
        <v>44</v>
      </c>
    </row>
    <row r="85" spans="1:11" x14ac:dyDescent="0.25">
      <c r="A85" s="575" t="s">
        <v>593</v>
      </c>
      <c r="B85" s="676" t="s">
        <v>595</v>
      </c>
      <c r="C85" s="676"/>
      <c r="D85" s="676"/>
      <c r="E85" s="676"/>
      <c r="F85" s="676"/>
      <c r="G85" s="676"/>
      <c r="H85" s="676"/>
      <c r="I85" s="670"/>
      <c r="J85" s="576" t="s">
        <v>14</v>
      </c>
      <c r="K85" s="577">
        <v>59.4</v>
      </c>
    </row>
    <row r="86" spans="1:11" x14ac:dyDescent="0.25">
      <c r="A86" s="575" t="s">
        <v>70</v>
      </c>
      <c r="B86" s="676" t="s">
        <v>596</v>
      </c>
      <c r="C86" s="676"/>
      <c r="D86" s="676"/>
      <c r="E86" s="676"/>
      <c r="F86" s="676"/>
      <c r="G86" s="676"/>
      <c r="H86" s="676"/>
      <c r="I86" s="670"/>
      <c r="J86" s="576" t="s">
        <v>14</v>
      </c>
      <c r="K86" s="577">
        <v>59.4</v>
      </c>
    </row>
    <row r="87" spans="1:11" x14ac:dyDescent="0.25">
      <c r="A87" s="575" t="s">
        <v>597</v>
      </c>
      <c r="B87" s="676" t="s">
        <v>598</v>
      </c>
      <c r="C87" s="676"/>
      <c r="D87" s="676"/>
      <c r="E87" s="676"/>
      <c r="F87" s="676"/>
      <c r="G87" s="676"/>
      <c r="H87" s="676"/>
      <c r="I87" s="670"/>
      <c r="J87" s="576" t="s">
        <v>14</v>
      </c>
      <c r="K87" s="577">
        <v>33</v>
      </c>
    </row>
    <row r="88" spans="1:11" x14ac:dyDescent="0.25">
      <c r="A88" s="575" t="s">
        <v>90</v>
      </c>
      <c r="B88" s="676" t="s">
        <v>601</v>
      </c>
      <c r="C88" s="676"/>
      <c r="D88" s="676"/>
      <c r="E88" s="676"/>
      <c r="F88" s="676"/>
      <c r="G88" s="676"/>
      <c r="H88" s="676"/>
      <c r="I88" s="670"/>
      <c r="J88" s="576" t="s">
        <v>14</v>
      </c>
      <c r="K88" s="577">
        <v>38.5</v>
      </c>
    </row>
    <row r="89" spans="1:11" x14ac:dyDescent="0.25">
      <c r="A89" s="575" t="s">
        <v>599</v>
      </c>
      <c r="B89" s="676" t="s">
        <v>602</v>
      </c>
      <c r="C89" s="676"/>
      <c r="D89" s="676"/>
      <c r="E89" s="676"/>
      <c r="F89" s="676"/>
      <c r="G89" s="676"/>
      <c r="H89" s="676"/>
      <c r="I89" s="670"/>
      <c r="J89" s="576" t="s">
        <v>14</v>
      </c>
      <c r="K89" s="577">
        <v>38.5</v>
      </c>
    </row>
    <row r="90" spans="1:11" x14ac:dyDescent="0.25">
      <c r="A90" s="575" t="s">
        <v>91</v>
      </c>
      <c r="B90" s="676" t="s">
        <v>603</v>
      </c>
      <c r="C90" s="676"/>
      <c r="D90" s="676"/>
      <c r="E90" s="676"/>
      <c r="F90" s="676"/>
      <c r="G90" s="676"/>
      <c r="H90" s="676"/>
      <c r="I90" s="670"/>
      <c r="J90" s="576" t="s">
        <v>14</v>
      </c>
      <c r="K90" s="577">
        <v>11</v>
      </c>
    </row>
    <row r="91" spans="1:11" x14ac:dyDescent="0.25">
      <c r="A91" s="575" t="s">
        <v>600</v>
      </c>
      <c r="B91" s="676" t="s">
        <v>604</v>
      </c>
      <c r="C91" s="676"/>
      <c r="D91" s="676"/>
      <c r="E91" s="676"/>
      <c r="F91" s="676"/>
      <c r="G91" s="676"/>
      <c r="H91" s="676"/>
      <c r="I91" s="670"/>
      <c r="J91" s="576" t="s">
        <v>14</v>
      </c>
      <c r="K91" s="577">
        <v>13.2</v>
      </c>
    </row>
    <row r="92" spans="1:11" x14ac:dyDescent="0.25">
      <c r="A92" s="40"/>
      <c r="B92" s="57"/>
      <c r="C92" s="57"/>
      <c r="D92" s="57"/>
      <c r="E92" s="57"/>
      <c r="F92" s="57"/>
      <c r="G92" s="57"/>
      <c r="H92" s="57"/>
      <c r="I92" s="57"/>
      <c r="J92" s="4"/>
      <c r="K92" s="39"/>
    </row>
    <row r="93" spans="1:11" ht="9" customHeight="1" thickBot="1" x14ac:dyDescent="0.3">
      <c r="A93" s="22"/>
      <c r="B93" s="23"/>
      <c r="C93" s="23"/>
      <c r="D93" s="23"/>
      <c r="E93" s="23"/>
      <c r="F93" s="23"/>
      <c r="G93" s="23"/>
      <c r="H93" s="23"/>
      <c r="I93" s="23"/>
      <c r="J93" s="24"/>
      <c r="K93" s="38"/>
    </row>
    <row r="94" spans="1:11" ht="15.75" thickBot="1" x14ac:dyDescent="0.3">
      <c r="A94" s="50" t="s">
        <v>77</v>
      </c>
      <c r="B94" s="663" t="s">
        <v>175</v>
      </c>
      <c r="C94" s="664"/>
      <c r="D94" s="664"/>
      <c r="E94" s="664"/>
      <c r="F94" s="664"/>
      <c r="G94" s="664"/>
      <c r="H94" s="664"/>
      <c r="I94" s="665"/>
      <c r="J94" s="50" t="s">
        <v>10</v>
      </c>
      <c r="K94" s="51" t="s">
        <v>11</v>
      </c>
    </row>
    <row r="95" spans="1:11" x14ac:dyDescent="0.25">
      <c r="A95" s="19" t="s">
        <v>78</v>
      </c>
      <c r="B95" s="653" t="s">
        <v>337</v>
      </c>
      <c r="C95" s="654"/>
      <c r="D95" s="654"/>
      <c r="E95" s="654"/>
      <c r="F95" s="654"/>
      <c r="G95" s="654"/>
      <c r="H95" s="654"/>
      <c r="I95" s="655"/>
      <c r="J95" s="18" t="s">
        <v>14</v>
      </c>
      <c r="K95" s="34">
        <f>KALKULACIJA_CENIK_št_1!H431</f>
        <v>14.38234375</v>
      </c>
    </row>
    <row r="96" spans="1:11" x14ac:dyDescent="0.25">
      <c r="A96" s="19" t="s">
        <v>79</v>
      </c>
      <c r="B96" s="653" t="s">
        <v>338</v>
      </c>
      <c r="C96" s="654"/>
      <c r="D96" s="654"/>
      <c r="E96" s="654"/>
      <c r="F96" s="654"/>
      <c r="G96" s="654"/>
      <c r="H96" s="654"/>
      <c r="I96" s="655"/>
      <c r="J96" s="18" t="s">
        <v>14</v>
      </c>
      <c r="K96" s="34">
        <f>KALKULACIJA_CENIK_št_1!H442</f>
        <v>9.2531250000000007</v>
      </c>
    </row>
    <row r="97" spans="1:11" x14ac:dyDescent="0.25">
      <c r="A97" s="19" t="s">
        <v>80</v>
      </c>
      <c r="B97" s="653" t="s">
        <v>355</v>
      </c>
      <c r="C97" s="654"/>
      <c r="D97" s="654"/>
      <c r="E97" s="654"/>
      <c r="F97" s="654"/>
      <c r="G97" s="654"/>
      <c r="H97" s="654"/>
      <c r="I97" s="655"/>
      <c r="J97" s="18" t="s">
        <v>14</v>
      </c>
      <c r="K97" s="34">
        <f>KALKULACIJA_CENIK_št_1!H453</f>
        <v>12.369374999999998</v>
      </c>
    </row>
    <row r="98" spans="1:11" x14ac:dyDescent="0.25">
      <c r="A98" s="19" t="s">
        <v>80</v>
      </c>
      <c r="B98" s="653" t="s">
        <v>356</v>
      </c>
      <c r="C98" s="654"/>
      <c r="D98" s="654"/>
      <c r="E98" s="654"/>
      <c r="F98" s="654"/>
      <c r="G98" s="654"/>
      <c r="H98" s="654"/>
      <c r="I98" s="655"/>
      <c r="J98" s="18" t="s">
        <v>14</v>
      </c>
      <c r="K98" s="34">
        <f>KALKULACIJA_CENIK_št_1!H464</f>
        <v>8.1037500000000016</v>
      </c>
    </row>
    <row r="99" spans="1:11" x14ac:dyDescent="0.25">
      <c r="A99" s="19" t="s">
        <v>81</v>
      </c>
      <c r="B99" s="653" t="s">
        <v>23</v>
      </c>
      <c r="C99" s="654"/>
      <c r="D99" s="654"/>
      <c r="E99" s="654"/>
      <c r="F99" s="654"/>
      <c r="G99" s="654"/>
      <c r="H99" s="654"/>
      <c r="I99" s="655"/>
      <c r="J99" s="18" t="s">
        <v>14</v>
      </c>
      <c r="K99" s="34">
        <f>KALKULACIJA_CENIK_št_1!H475</f>
        <v>26.975277777777777</v>
      </c>
    </row>
    <row r="100" spans="1:11" x14ac:dyDescent="0.25">
      <c r="A100" s="19" t="s">
        <v>82</v>
      </c>
      <c r="B100" s="659" t="s">
        <v>22</v>
      </c>
      <c r="C100" s="660"/>
      <c r="D100" s="660"/>
      <c r="E100" s="660"/>
      <c r="F100" s="660"/>
      <c r="G100" s="660"/>
      <c r="H100" s="660"/>
      <c r="I100" s="661"/>
      <c r="J100" s="18" t="s">
        <v>14</v>
      </c>
      <c r="K100" s="34">
        <f>KALKULACIJA_CENIK_št_1!H487</f>
        <v>9.2000000000000011</v>
      </c>
    </row>
    <row r="101" spans="1:11" x14ac:dyDescent="0.25">
      <c r="A101" s="19" t="s">
        <v>83</v>
      </c>
      <c r="B101" s="653" t="s">
        <v>233</v>
      </c>
      <c r="C101" s="654"/>
      <c r="D101" s="654"/>
      <c r="E101" s="654"/>
      <c r="F101" s="654"/>
      <c r="G101" s="654"/>
      <c r="H101" s="654"/>
      <c r="I101" s="655"/>
      <c r="J101" s="18" t="s">
        <v>14</v>
      </c>
      <c r="K101" s="34">
        <f>KALKULACIJA_CENIK_št_1!H498</f>
        <v>18.878125000000001</v>
      </c>
    </row>
    <row r="102" spans="1:11" x14ac:dyDescent="0.25">
      <c r="A102" s="19" t="s">
        <v>84</v>
      </c>
      <c r="B102" s="653" t="s">
        <v>24</v>
      </c>
      <c r="C102" s="654"/>
      <c r="D102" s="654"/>
      <c r="E102" s="654"/>
      <c r="F102" s="654"/>
      <c r="G102" s="654"/>
      <c r="H102" s="654"/>
      <c r="I102" s="655"/>
      <c r="J102" s="18" t="s">
        <v>14</v>
      </c>
      <c r="K102" s="34">
        <f>KALKULACIJA_CENIK_št_1!H509</f>
        <v>2.8875000000000002</v>
      </c>
    </row>
    <row r="103" spans="1:11" x14ac:dyDescent="0.25">
      <c r="A103" s="19" t="s">
        <v>85</v>
      </c>
      <c r="B103" s="653" t="s">
        <v>25</v>
      </c>
      <c r="C103" s="654"/>
      <c r="D103" s="654"/>
      <c r="E103" s="654"/>
      <c r="F103" s="654"/>
      <c r="G103" s="654"/>
      <c r="H103" s="654"/>
      <c r="I103" s="655"/>
      <c r="J103" s="18" t="s">
        <v>14</v>
      </c>
      <c r="K103" s="34">
        <f>KALKULACIJA_CENIK_št_1!H520</f>
        <v>7.1250000000000009</v>
      </c>
    </row>
    <row r="104" spans="1:11" x14ac:dyDescent="0.25">
      <c r="A104" s="19" t="s">
        <v>495</v>
      </c>
      <c r="B104" s="653" t="s">
        <v>496</v>
      </c>
      <c r="C104" s="654"/>
      <c r="D104" s="654"/>
      <c r="E104" s="654"/>
      <c r="F104" s="654"/>
      <c r="G104" s="654"/>
      <c r="H104" s="654"/>
      <c r="I104" s="655"/>
      <c r="J104" s="18" t="s">
        <v>14</v>
      </c>
      <c r="K104" s="34">
        <f>KALKULACIJA_CENIK_št_1!H531</f>
        <v>9.9749999999999996</v>
      </c>
    </row>
    <row r="105" spans="1:11" x14ac:dyDescent="0.25">
      <c r="A105" s="578" t="s">
        <v>605</v>
      </c>
      <c r="B105" s="676" t="s">
        <v>606</v>
      </c>
      <c r="C105" s="676"/>
      <c r="D105" s="676"/>
      <c r="E105" s="676"/>
      <c r="F105" s="676"/>
      <c r="G105" s="676"/>
      <c r="H105" s="676"/>
      <c r="I105" s="670"/>
      <c r="J105" s="574" t="s">
        <v>14</v>
      </c>
      <c r="K105" s="572">
        <v>60.5</v>
      </c>
    </row>
    <row r="106" spans="1:11" ht="13.5" customHeight="1" thickBot="1" x14ac:dyDescent="0.3">
      <c r="A106" s="4"/>
      <c r="K106" s="39"/>
    </row>
    <row r="107" spans="1:11" ht="15.75" thickBot="1" x14ac:dyDescent="0.3">
      <c r="A107" s="50" t="s">
        <v>92</v>
      </c>
      <c r="B107" s="663" t="s">
        <v>51</v>
      </c>
      <c r="C107" s="664"/>
      <c r="D107" s="664"/>
      <c r="E107" s="664"/>
      <c r="F107" s="664"/>
      <c r="G107" s="664"/>
      <c r="H107" s="664"/>
      <c r="I107" s="665"/>
      <c r="J107" s="50" t="s">
        <v>10</v>
      </c>
      <c r="K107" s="51" t="s">
        <v>11</v>
      </c>
    </row>
    <row r="108" spans="1:11" x14ac:dyDescent="0.25">
      <c r="A108" s="19" t="s">
        <v>93</v>
      </c>
      <c r="B108" s="653" t="s">
        <v>339</v>
      </c>
      <c r="C108" s="654"/>
      <c r="D108" s="654"/>
      <c r="E108" s="654"/>
      <c r="F108" s="654"/>
      <c r="G108" s="654"/>
      <c r="H108" s="654"/>
      <c r="I108" s="655"/>
      <c r="J108" s="18" t="s">
        <v>14</v>
      </c>
      <c r="K108" s="34">
        <f>KALKULACIJA_CENIK_št_1!I544</f>
        <v>14.994</v>
      </c>
    </row>
    <row r="109" spans="1:11" x14ac:dyDescent="0.25">
      <c r="A109" s="20" t="s">
        <v>94</v>
      </c>
      <c r="B109" s="662" t="s">
        <v>234</v>
      </c>
      <c r="C109" s="662"/>
      <c r="D109" s="662"/>
      <c r="E109" s="662"/>
      <c r="F109" s="662"/>
      <c r="G109" s="662"/>
      <c r="H109" s="662"/>
      <c r="I109" s="662"/>
      <c r="J109" s="25" t="s">
        <v>14</v>
      </c>
      <c r="K109" s="37">
        <f>KALKULACIJA_CENIK_št_1!I556</f>
        <v>22.137640350877192</v>
      </c>
    </row>
    <row r="110" spans="1:11" x14ac:dyDescent="0.25">
      <c r="A110" s="19" t="s">
        <v>95</v>
      </c>
      <c r="B110" s="662" t="s">
        <v>69</v>
      </c>
      <c r="C110" s="662"/>
      <c r="D110" s="662"/>
      <c r="E110" s="662"/>
      <c r="F110" s="662"/>
      <c r="G110" s="662"/>
      <c r="H110" s="662"/>
      <c r="I110" s="662"/>
      <c r="J110" s="25" t="s">
        <v>14</v>
      </c>
      <c r="K110" s="37">
        <f>KALKULACIJA_CENIK_št_1!I569</f>
        <v>8.6199750000000002</v>
      </c>
    </row>
    <row r="111" spans="1:11" x14ac:dyDescent="0.25">
      <c r="A111" s="20" t="s">
        <v>96</v>
      </c>
      <c r="B111" s="662" t="s">
        <v>57</v>
      </c>
      <c r="C111" s="662"/>
      <c r="D111" s="662"/>
      <c r="E111" s="662"/>
      <c r="F111" s="662"/>
      <c r="G111" s="662"/>
      <c r="H111" s="662"/>
      <c r="I111" s="662"/>
      <c r="J111" s="25" t="s">
        <v>14</v>
      </c>
      <c r="K111" s="37">
        <f>KALKULACIJA_CENIK_št_1!I581</f>
        <v>7.8266999999999989</v>
      </c>
    </row>
    <row r="112" spans="1:11" x14ac:dyDescent="0.25">
      <c r="A112" s="19" t="s">
        <v>97</v>
      </c>
      <c r="B112" s="662" t="s">
        <v>59</v>
      </c>
      <c r="C112" s="662"/>
      <c r="D112" s="662"/>
      <c r="E112" s="662"/>
      <c r="F112" s="662"/>
      <c r="G112" s="662"/>
      <c r="H112" s="662"/>
      <c r="I112" s="662"/>
      <c r="J112" s="25" t="s">
        <v>14</v>
      </c>
      <c r="K112" s="37">
        <f>KALKULACIJA_CENIK_št_1!I593</f>
        <v>7.8266999999999989</v>
      </c>
    </row>
    <row r="113" spans="1:11" x14ac:dyDescent="0.25">
      <c r="A113" s="20" t="s">
        <v>98</v>
      </c>
      <c r="B113" s="675" t="s">
        <v>60</v>
      </c>
      <c r="C113" s="675"/>
      <c r="D113" s="675"/>
      <c r="E113" s="675"/>
      <c r="F113" s="675"/>
      <c r="G113" s="675"/>
      <c r="H113" s="675"/>
      <c r="I113" s="675"/>
      <c r="J113" s="18" t="s">
        <v>14</v>
      </c>
      <c r="K113" s="34">
        <f>KALKULACIJA_CENIK_št_1!I605</f>
        <v>7.8266999999999989</v>
      </c>
    </row>
    <row r="114" spans="1:11" x14ac:dyDescent="0.25">
      <c r="A114" s="20" t="s">
        <v>99</v>
      </c>
      <c r="B114" s="653" t="s">
        <v>71</v>
      </c>
      <c r="C114" s="654"/>
      <c r="D114" s="654"/>
      <c r="E114" s="654"/>
      <c r="F114" s="654"/>
      <c r="G114" s="654"/>
      <c r="H114" s="654"/>
      <c r="I114" s="655"/>
      <c r="J114" s="41" t="s">
        <v>14</v>
      </c>
      <c r="K114" s="37">
        <f>KALKULACIJA_CENIK_št_1!I618</f>
        <v>9.6815249999999988</v>
      </c>
    </row>
    <row r="115" spans="1:11" x14ac:dyDescent="0.25">
      <c r="A115" s="20" t="s">
        <v>100</v>
      </c>
      <c r="B115" s="653" t="s">
        <v>72</v>
      </c>
      <c r="C115" s="654"/>
      <c r="D115" s="654"/>
      <c r="E115" s="654"/>
      <c r="F115" s="654"/>
      <c r="G115" s="654"/>
      <c r="H115" s="654"/>
      <c r="I115" s="655"/>
      <c r="J115" s="41" t="s">
        <v>14</v>
      </c>
      <c r="K115" s="37">
        <f>KALKULACIJA_CENIK_št_1!I630</f>
        <v>9.4057250000000003</v>
      </c>
    </row>
    <row r="116" spans="1:11" x14ac:dyDescent="0.25">
      <c r="A116" s="19" t="s">
        <v>101</v>
      </c>
      <c r="B116" s="675" t="s">
        <v>423</v>
      </c>
      <c r="C116" s="675"/>
      <c r="D116" s="675"/>
      <c r="E116" s="675"/>
      <c r="F116" s="675"/>
      <c r="G116" s="675"/>
      <c r="H116" s="675"/>
      <c r="I116" s="675"/>
      <c r="J116" s="527" t="s">
        <v>14</v>
      </c>
      <c r="K116" s="34">
        <f>KALKULACIJA_CENIK_št_1!I642</f>
        <v>15.116849999999999</v>
      </c>
    </row>
    <row r="117" spans="1:11" x14ac:dyDescent="0.25">
      <c r="A117" s="20" t="s">
        <v>102</v>
      </c>
      <c r="B117" s="675" t="s">
        <v>61</v>
      </c>
      <c r="C117" s="675"/>
      <c r="D117" s="675"/>
      <c r="E117" s="675"/>
      <c r="F117" s="675"/>
      <c r="G117" s="675"/>
      <c r="H117" s="675"/>
      <c r="I117" s="675"/>
      <c r="J117" s="18" t="s">
        <v>14</v>
      </c>
      <c r="K117" s="34">
        <f>KALKULACIJA_CENIK_št_1!I654</f>
        <v>15.659174999999999</v>
      </c>
    </row>
    <row r="118" spans="1:11" x14ac:dyDescent="0.25">
      <c r="A118" s="19" t="s">
        <v>103</v>
      </c>
      <c r="B118" s="662" t="s">
        <v>64</v>
      </c>
      <c r="C118" s="662"/>
      <c r="D118" s="662"/>
      <c r="E118" s="662"/>
      <c r="F118" s="662"/>
      <c r="G118" s="662"/>
      <c r="H118" s="662"/>
      <c r="I118" s="662"/>
      <c r="J118" s="18" t="s">
        <v>14</v>
      </c>
      <c r="K118" s="34">
        <f>KALKULACIJA_CENIK_št_1!I666</f>
        <v>15.659174999999999</v>
      </c>
    </row>
    <row r="119" spans="1:11" x14ac:dyDescent="0.25">
      <c r="A119" s="20" t="s">
        <v>104</v>
      </c>
      <c r="B119" s="662" t="s">
        <v>236</v>
      </c>
      <c r="C119" s="662"/>
      <c r="D119" s="662"/>
      <c r="E119" s="662"/>
      <c r="F119" s="662"/>
      <c r="G119" s="662"/>
      <c r="H119" s="662"/>
      <c r="I119" s="662"/>
      <c r="J119" s="25" t="s">
        <v>14</v>
      </c>
      <c r="K119" s="37">
        <f>KALKULACIJA_CENIK_št_1!I679</f>
        <v>10.759583333333335</v>
      </c>
    </row>
    <row r="120" spans="1:11" x14ac:dyDescent="0.25">
      <c r="A120" s="19" t="s">
        <v>105</v>
      </c>
      <c r="B120" s="662" t="s">
        <v>62</v>
      </c>
      <c r="C120" s="662"/>
      <c r="D120" s="662"/>
      <c r="E120" s="662"/>
      <c r="F120" s="662"/>
      <c r="G120" s="662"/>
      <c r="H120" s="662"/>
      <c r="I120" s="662"/>
      <c r="J120" s="25" t="s">
        <v>14</v>
      </c>
      <c r="K120" s="37">
        <f>KALKULACIJA_CENIK_št_1!H690</f>
        <v>11.025</v>
      </c>
    </row>
    <row r="121" spans="1:11" x14ac:dyDescent="0.25">
      <c r="A121" s="20" t="s">
        <v>106</v>
      </c>
      <c r="B121" s="662" t="s">
        <v>643</v>
      </c>
      <c r="C121" s="662"/>
      <c r="D121" s="662"/>
      <c r="E121" s="662"/>
      <c r="F121" s="662"/>
      <c r="G121" s="662"/>
      <c r="H121" s="662"/>
      <c r="I121" s="662"/>
      <c r="J121" s="25" t="s">
        <v>14</v>
      </c>
      <c r="K121" s="37">
        <f>KALKULACIJA_CENIK_št_1!H701</f>
        <v>14.087500000000002</v>
      </c>
    </row>
    <row r="122" spans="1:11" x14ac:dyDescent="0.25">
      <c r="A122" s="19" t="s">
        <v>107</v>
      </c>
      <c r="B122" s="662" t="s">
        <v>63</v>
      </c>
      <c r="C122" s="662"/>
      <c r="D122" s="662"/>
      <c r="E122" s="662"/>
      <c r="F122" s="662"/>
      <c r="G122" s="662"/>
      <c r="H122" s="662"/>
      <c r="I122" s="662"/>
      <c r="J122" s="25" t="s">
        <v>14</v>
      </c>
      <c r="K122" s="37">
        <f>KALKULACIJA_CENIK_št_1!H712</f>
        <v>8.9833333333333307</v>
      </c>
    </row>
    <row r="123" spans="1:11" x14ac:dyDescent="0.25">
      <c r="A123" s="20" t="s">
        <v>108</v>
      </c>
      <c r="B123" s="653" t="s">
        <v>235</v>
      </c>
      <c r="C123" s="654"/>
      <c r="D123" s="654"/>
      <c r="E123" s="654"/>
      <c r="F123" s="654"/>
      <c r="G123" s="654"/>
      <c r="H123" s="654"/>
      <c r="I123" s="655"/>
      <c r="J123" s="25" t="s">
        <v>14</v>
      </c>
      <c r="K123" s="37">
        <f>KALKULACIJA_CENIK_št_1!H723</f>
        <v>7.1750000000000007</v>
      </c>
    </row>
    <row r="124" spans="1:11" x14ac:dyDescent="0.25">
      <c r="A124" s="19" t="s">
        <v>109</v>
      </c>
      <c r="B124" s="675" t="s">
        <v>66</v>
      </c>
      <c r="C124" s="675"/>
      <c r="D124" s="675"/>
      <c r="E124" s="675"/>
      <c r="F124" s="675"/>
      <c r="G124" s="675"/>
      <c r="H124" s="675"/>
      <c r="I124" s="675"/>
      <c r="J124" s="18" t="s">
        <v>14</v>
      </c>
      <c r="K124" s="34">
        <f>KALKULACIJA_CENIK_št_1!H734</f>
        <v>8.0313829787234052</v>
      </c>
    </row>
    <row r="125" spans="1:11" x14ac:dyDescent="0.25">
      <c r="A125" s="20" t="s">
        <v>110</v>
      </c>
      <c r="B125" s="662" t="s">
        <v>67</v>
      </c>
      <c r="C125" s="662"/>
      <c r="D125" s="662"/>
      <c r="E125" s="662"/>
      <c r="F125" s="662"/>
      <c r="G125" s="662"/>
      <c r="H125" s="662"/>
      <c r="I125" s="662"/>
      <c r="J125" s="18" t="s">
        <v>14</v>
      </c>
      <c r="K125" s="34">
        <f>KALKULACIJA_CENIK_št_1!H745</f>
        <v>8.9833333333333325</v>
      </c>
    </row>
    <row r="126" spans="1:11" x14ac:dyDescent="0.25">
      <c r="A126" s="19" t="s">
        <v>111</v>
      </c>
      <c r="B126" s="662" t="s">
        <v>74</v>
      </c>
      <c r="C126" s="662"/>
      <c r="D126" s="662"/>
      <c r="E126" s="662"/>
      <c r="F126" s="662"/>
      <c r="G126" s="662"/>
      <c r="H126" s="662"/>
      <c r="I126" s="662"/>
      <c r="J126" s="18" t="s">
        <v>75</v>
      </c>
      <c r="K126" s="34">
        <f>KALKULACIJA_CENIK_št_1!H764</f>
        <v>6.6894570825482713</v>
      </c>
    </row>
    <row r="127" spans="1:11" x14ac:dyDescent="0.25">
      <c r="A127" s="20" t="s">
        <v>112</v>
      </c>
      <c r="B127" s="662" t="s">
        <v>68</v>
      </c>
      <c r="C127" s="662"/>
      <c r="D127" s="662"/>
      <c r="E127" s="662"/>
      <c r="F127" s="662"/>
      <c r="G127" s="662"/>
      <c r="H127" s="662"/>
      <c r="I127" s="662"/>
      <c r="J127" s="25" t="s">
        <v>14</v>
      </c>
      <c r="K127" s="37">
        <f>KALKULACIJA_CENIK_št_1!H775</f>
        <v>9.0321428571428566</v>
      </c>
    </row>
    <row r="128" spans="1:11" x14ac:dyDescent="0.25">
      <c r="A128" s="20" t="s">
        <v>488</v>
      </c>
      <c r="B128" s="662" t="s">
        <v>487</v>
      </c>
      <c r="C128" s="662"/>
      <c r="D128" s="662"/>
      <c r="E128" s="662"/>
      <c r="F128" s="662"/>
      <c r="G128" s="662"/>
      <c r="H128" s="662"/>
      <c r="I128" s="662"/>
      <c r="J128" s="25" t="s">
        <v>14</v>
      </c>
      <c r="K128" s="37">
        <f>KALKULACIJA_CENIK_št_1!H786</f>
        <v>26.8</v>
      </c>
    </row>
    <row r="129" spans="1:18" x14ac:dyDescent="0.25">
      <c r="A129" s="20" t="s">
        <v>499</v>
      </c>
      <c r="B129" s="662" t="s">
        <v>541</v>
      </c>
      <c r="C129" s="662"/>
      <c r="D129" s="662"/>
      <c r="E129" s="662"/>
      <c r="F129" s="662"/>
      <c r="G129" s="662"/>
      <c r="H129" s="662"/>
      <c r="I129" s="662"/>
      <c r="J129" s="25" t="s">
        <v>14</v>
      </c>
      <c r="K129" s="37">
        <f>KALKULACIJA_CENIK_št_1!H797</f>
        <v>17.675000000000004</v>
      </c>
    </row>
    <row r="130" spans="1:18" x14ac:dyDescent="0.25">
      <c r="A130" s="573" t="s">
        <v>607</v>
      </c>
      <c r="B130" s="670" t="s">
        <v>608</v>
      </c>
      <c r="C130" s="671"/>
      <c r="D130" s="671"/>
      <c r="E130" s="671"/>
      <c r="F130" s="671"/>
      <c r="G130" s="671"/>
      <c r="H130" s="671"/>
      <c r="I130" s="671"/>
      <c r="J130" s="576" t="s">
        <v>14</v>
      </c>
      <c r="K130" s="579">
        <v>26.4</v>
      </c>
    </row>
    <row r="131" spans="1:18" x14ac:dyDescent="0.25">
      <c r="A131" s="573" t="s">
        <v>610</v>
      </c>
      <c r="B131" s="670" t="s">
        <v>609</v>
      </c>
      <c r="C131" s="671"/>
      <c r="D131" s="671"/>
      <c r="E131" s="671"/>
      <c r="F131" s="671"/>
      <c r="G131" s="671"/>
      <c r="H131" s="671"/>
      <c r="I131" s="671"/>
      <c r="J131" s="576" t="s">
        <v>14</v>
      </c>
      <c r="K131" s="579">
        <v>33</v>
      </c>
    </row>
    <row r="132" spans="1:18" x14ac:dyDescent="0.25">
      <c r="A132" s="573" t="s">
        <v>618</v>
      </c>
      <c r="B132" s="670" t="s">
        <v>611</v>
      </c>
      <c r="C132" s="671"/>
      <c r="D132" s="671"/>
      <c r="E132" s="671"/>
      <c r="F132" s="671"/>
      <c r="G132" s="671"/>
      <c r="H132" s="671"/>
      <c r="I132" s="671"/>
      <c r="J132" s="576" t="s">
        <v>14</v>
      </c>
      <c r="K132" s="579">
        <v>28.6</v>
      </c>
    </row>
    <row r="133" spans="1:18" ht="15.75" customHeight="1" thickBot="1" x14ac:dyDescent="0.3">
      <c r="A133" s="40"/>
      <c r="B133" s="672"/>
      <c r="C133" s="672"/>
      <c r="D133" s="672"/>
      <c r="E133" s="672"/>
      <c r="F133" s="672"/>
      <c r="G133" s="672"/>
      <c r="H133" s="672"/>
      <c r="I133" s="672"/>
      <c r="J133" s="4"/>
      <c r="K133" s="39"/>
    </row>
    <row r="134" spans="1:18" ht="15.75" thickBot="1" x14ac:dyDescent="0.3">
      <c r="A134" s="50" t="s">
        <v>137</v>
      </c>
      <c r="B134" s="667" t="s">
        <v>152</v>
      </c>
      <c r="C134" s="668" t="s">
        <v>143</v>
      </c>
      <c r="D134" s="668" t="s">
        <v>143</v>
      </c>
      <c r="E134" s="668" t="s">
        <v>143</v>
      </c>
      <c r="F134" s="668" t="s">
        <v>143</v>
      </c>
      <c r="G134" s="668" t="s">
        <v>143</v>
      </c>
      <c r="H134" s="668" t="s">
        <v>143</v>
      </c>
      <c r="I134" s="669" t="s">
        <v>143</v>
      </c>
      <c r="J134" s="50" t="s">
        <v>10</v>
      </c>
      <c r="K134" s="50" t="s">
        <v>11</v>
      </c>
    </row>
    <row r="135" spans="1:18" x14ac:dyDescent="0.25">
      <c r="A135" s="19" t="s">
        <v>139</v>
      </c>
      <c r="B135" s="653" t="s">
        <v>148</v>
      </c>
      <c r="C135" s="654"/>
      <c r="D135" s="654"/>
      <c r="E135" s="654"/>
      <c r="F135" s="654"/>
      <c r="G135" s="654"/>
      <c r="H135" s="654"/>
      <c r="I135" s="655"/>
      <c r="J135" s="19" t="s">
        <v>127</v>
      </c>
      <c r="K135" s="34">
        <f>KALKULACIJA_CENIK_št_1!J810</f>
        <v>72.140303173176676</v>
      </c>
    </row>
    <row r="136" spans="1:18" x14ac:dyDescent="0.25">
      <c r="A136" s="20" t="s">
        <v>140</v>
      </c>
      <c r="B136" s="659" t="s">
        <v>149</v>
      </c>
      <c r="C136" s="660"/>
      <c r="D136" s="660"/>
      <c r="E136" s="660"/>
      <c r="F136" s="660"/>
      <c r="G136" s="660"/>
      <c r="H136" s="660"/>
      <c r="I136" s="661"/>
      <c r="J136" s="18" t="s">
        <v>127</v>
      </c>
      <c r="K136" s="34">
        <f>KALKULACIJA_CENIK_št_1!J820</f>
        <v>144.48182633340173</v>
      </c>
    </row>
    <row r="137" spans="1:18" x14ac:dyDescent="0.25">
      <c r="A137" s="19" t="s">
        <v>141</v>
      </c>
      <c r="B137" s="653" t="s">
        <v>150</v>
      </c>
      <c r="C137" s="654"/>
      <c r="D137" s="654"/>
      <c r="E137" s="654"/>
      <c r="F137" s="654"/>
      <c r="G137" s="654"/>
      <c r="H137" s="654"/>
      <c r="I137" s="655"/>
      <c r="J137" s="18" t="s">
        <v>127</v>
      </c>
      <c r="K137" s="34">
        <f>KALKULACIJA_CENIK_št_1!J831</f>
        <v>177.30015168787412</v>
      </c>
    </row>
    <row r="138" spans="1:18" x14ac:dyDescent="0.25">
      <c r="A138" s="20" t="s">
        <v>142</v>
      </c>
      <c r="B138" s="653" t="s">
        <v>239</v>
      </c>
      <c r="C138" s="654"/>
      <c r="D138" s="654"/>
      <c r="E138" s="654"/>
      <c r="F138" s="654"/>
      <c r="G138" s="654"/>
      <c r="H138" s="654"/>
      <c r="I138" s="655"/>
      <c r="J138" s="25" t="s">
        <v>127</v>
      </c>
      <c r="K138" s="34">
        <f>KALKULACIJA_CENIK_št_1!J841</f>
        <v>96.321217555601152</v>
      </c>
      <c r="R138" s="4"/>
    </row>
    <row r="139" spans="1:18" x14ac:dyDescent="0.25">
      <c r="A139" s="19" t="s">
        <v>144</v>
      </c>
      <c r="B139" s="653" t="s">
        <v>240</v>
      </c>
      <c r="C139" s="654"/>
      <c r="D139" s="654"/>
      <c r="E139" s="654"/>
      <c r="F139" s="654"/>
      <c r="G139" s="654"/>
      <c r="H139" s="654"/>
      <c r="I139" s="655"/>
      <c r="J139" s="25" t="s">
        <v>127</v>
      </c>
      <c r="K139" s="34">
        <f>KALKULACIJA_CENIK_št_1!J851</f>
        <v>47.850608777800581</v>
      </c>
    </row>
    <row r="140" spans="1:18" ht="16.5" customHeight="1" x14ac:dyDescent="0.25">
      <c r="A140" s="20" t="s">
        <v>145</v>
      </c>
      <c r="B140" s="666" t="s">
        <v>153</v>
      </c>
      <c r="C140" s="666"/>
      <c r="D140" s="666"/>
      <c r="E140" s="666"/>
      <c r="F140" s="666"/>
      <c r="G140" s="666"/>
      <c r="H140" s="666"/>
      <c r="I140" s="666"/>
      <c r="J140" s="25" t="s">
        <v>127</v>
      </c>
      <c r="K140" s="37">
        <f>KALKULACIJA_CENIK_št_1!J861</f>
        <v>95.701217555601147</v>
      </c>
    </row>
    <row r="141" spans="1:18" ht="16.5" customHeight="1" x14ac:dyDescent="0.25">
      <c r="A141" s="20" t="s">
        <v>146</v>
      </c>
      <c r="B141" s="666" t="s">
        <v>261</v>
      </c>
      <c r="C141" s="666"/>
      <c r="D141" s="666"/>
      <c r="E141" s="666"/>
      <c r="F141" s="666"/>
      <c r="G141" s="666"/>
      <c r="H141" s="666"/>
      <c r="I141" s="666"/>
      <c r="J141" s="25" t="s">
        <v>127</v>
      </c>
      <c r="K141" s="37">
        <f>KALKULACIJA_CENIK_št_1!I869</f>
        <v>2.2916666666666665</v>
      </c>
    </row>
    <row r="143" spans="1:18" ht="15.75" thickBot="1" x14ac:dyDescent="0.3">
      <c r="A143" s="50" t="s">
        <v>147</v>
      </c>
      <c r="B143" s="663" t="s">
        <v>168</v>
      </c>
      <c r="C143" s="664" t="s">
        <v>143</v>
      </c>
      <c r="D143" s="664" t="s">
        <v>143</v>
      </c>
      <c r="E143" s="664" t="s">
        <v>143</v>
      </c>
      <c r="F143" s="664" t="s">
        <v>143</v>
      </c>
      <c r="G143" s="664" t="s">
        <v>143</v>
      </c>
      <c r="H143" s="664" t="s">
        <v>143</v>
      </c>
      <c r="I143" s="665" t="s">
        <v>143</v>
      </c>
      <c r="J143" s="50" t="s">
        <v>10</v>
      </c>
      <c r="K143" s="50" t="s">
        <v>11</v>
      </c>
    </row>
    <row r="144" spans="1:18" x14ac:dyDescent="0.25">
      <c r="A144" s="19" t="s">
        <v>155</v>
      </c>
      <c r="B144" s="653" t="s">
        <v>172</v>
      </c>
      <c r="C144" s="654"/>
      <c r="D144" s="654"/>
      <c r="E144" s="654"/>
      <c r="F144" s="654"/>
      <c r="G144" s="654"/>
      <c r="H144" s="654"/>
      <c r="I144" s="655"/>
      <c r="J144" s="18" t="s">
        <v>127</v>
      </c>
      <c r="K144" s="34">
        <f>KALKULACIJA_CENIK_št_1!H923</f>
        <v>622.65000000000009</v>
      </c>
    </row>
    <row r="145" spans="1:11" x14ac:dyDescent="0.25">
      <c r="A145" s="19" t="s">
        <v>156</v>
      </c>
      <c r="B145" s="653" t="s">
        <v>173</v>
      </c>
      <c r="C145" s="654"/>
      <c r="D145" s="654"/>
      <c r="E145" s="654"/>
      <c r="F145" s="654"/>
      <c r="G145" s="654"/>
      <c r="H145" s="654"/>
      <c r="I145" s="655"/>
      <c r="J145" s="25" t="s">
        <v>127</v>
      </c>
      <c r="K145" s="34">
        <f>KALKULACIJA_CENIK_št_1!H933</f>
        <v>482.30000000000007</v>
      </c>
    </row>
    <row r="146" spans="1:11" ht="15.75" thickBot="1" x14ac:dyDescent="0.3"/>
    <row r="147" spans="1:11" ht="15.75" thickBot="1" x14ac:dyDescent="0.3">
      <c r="A147" s="50" t="s">
        <v>160</v>
      </c>
      <c r="B147" s="663" t="s">
        <v>443</v>
      </c>
      <c r="C147" s="664" t="s">
        <v>143</v>
      </c>
      <c r="D147" s="664" t="s">
        <v>143</v>
      </c>
      <c r="E147" s="664" t="s">
        <v>143</v>
      </c>
      <c r="F147" s="664" t="s">
        <v>143</v>
      </c>
      <c r="G147" s="664" t="s">
        <v>143</v>
      </c>
      <c r="H147" s="664" t="s">
        <v>143</v>
      </c>
      <c r="I147" s="665" t="s">
        <v>143</v>
      </c>
      <c r="J147" s="50" t="s">
        <v>10</v>
      </c>
      <c r="K147" s="50" t="s">
        <v>11</v>
      </c>
    </row>
    <row r="148" spans="1:11" x14ac:dyDescent="0.25">
      <c r="A148" s="19" t="s">
        <v>161</v>
      </c>
      <c r="B148" s="653" t="s">
        <v>171</v>
      </c>
      <c r="C148" s="654"/>
      <c r="D148" s="654"/>
      <c r="E148" s="654"/>
      <c r="F148" s="654"/>
      <c r="G148" s="654"/>
      <c r="H148" s="654"/>
      <c r="I148" s="655"/>
      <c r="J148" s="25" t="s">
        <v>486</v>
      </c>
      <c r="K148" s="449">
        <f>KALKULACIJA_CENIK_št_1!H1010</f>
        <v>3.5138347382663309</v>
      </c>
    </row>
    <row r="149" spans="1:11" x14ac:dyDescent="0.25">
      <c r="A149" s="40"/>
      <c r="B149" s="57"/>
      <c r="C149" s="57"/>
      <c r="D149" s="57"/>
      <c r="E149" s="57"/>
      <c r="F149" s="57"/>
      <c r="G149" s="57"/>
      <c r="H149" s="57"/>
      <c r="I149" s="57"/>
      <c r="J149" s="4"/>
      <c r="K149" s="450"/>
    </row>
    <row r="150" spans="1:11" x14ac:dyDescent="0.25">
      <c r="A150" s="656"/>
      <c r="B150" s="656"/>
      <c r="C150" s="656"/>
      <c r="D150" s="656"/>
      <c r="E150" s="104"/>
      <c r="F150" s="104"/>
    </row>
    <row r="151" spans="1:11" x14ac:dyDescent="0.25">
      <c r="A151" s="997" t="s">
        <v>665</v>
      </c>
      <c r="B151" s="997"/>
      <c r="C151" s="997"/>
      <c r="D151" s="997"/>
      <c r="E151" s="104"/>
      <c r="F151" s="104"/>
      <c r="G151" s="656" t="s">
        <v>632</v>
      </c>
      <c r="H151" s="656"/>
      <c r="I151" s="656"/>
      <c r="J151" s="656"/>
      <c r="K151" s="656"/>
    </row>
    <row r="152" spans="1:11" x14ac:dyDescent="0.25">
      <c r="B152" s="104"/>
      <c r="C152" s="104"/>
      <c r="D152" s="104"/>
      <c r="E152" s="104"/>
      <c r="F152" s="104"/>
      <c r="G152" s="656" t="s">
        <v>633</v>
      </c>
      <c r="H152" s="657"/>
      <c r="I152" s="657"/>
      <c r="J152" s="657"/>
      <c r="K152" s="657"/>
    </row>
    <row r="153" spans="1:11" x14ac:dyDescent="0.25">
      <c r="G153" s="656" t="s">
        <v>637</v>
      </c>
      <c r="H153" s="657"/>
      <c r="I153" s="657"/>
      <c r="J153" s="657"/>
      <c r="K153" s="657"/>
    </row>
  </sheetData>
  <sheetProtection selectLockedCells="1" selectUnlockedCells="1"/>
  <mergeCells count="130">
    <mergeCell ref="G153:K153"/>
    <mergeCell ref="A151:D151"/>
    <mergeCell ref="B72:I72"/>
    <mergeCell ref="B73:I73"/>
    <mergeCell ref="H10:J10"/>
    <mergeCell ref="H11:I11"/>
    <mergeCell ref="C10:E10"/>
    <mergeCell ref="B12:E12"/>
    <mergeCell ref="B63:I63"/>
    <mergeCell ref="B52:I52"/>
    <mergeCell ref="B41:J41"/>
    <mergeCell ref="B47:J47"/>
    <mergeCell ref="B55:I55"/>
    <mergeCell ref="B53:I53"/>
    <mergeCell ref="B57:I57"/>
    <mergeCell ref="B58:I58"/>
    <mergeCell ref="B54:I54"/>
    <mergeCell ref="B56:I56"/>
    <mergeCell ref="B59:I59"/>
    <mergeCell ref="B61:I61"/>
    <mergeCell ref="B68:I68"/>
    <mergeCell ref="B65:I65"/>
    <mergeCell ref="B60:I60"/>
    <mergeCell ref="A29:K29"/>
    <mergeCell ref="A25:K25"/>
    <mergeCell ref="A1:K6"/>
    <mergeCell ref="B51:I51"/>
    <mergeCell ref="B42:J42"/>
    <mergeCell ref="B45:J45"/>
    <mergeCell ref="B38:J38"/>
    <mergeCell ref="B39:J39"/>
    <mergeCell ref="B35:I35"/>
    <mergeCell ref="B16:E16"/>
    <mergeCell ref="B17:E17"/>
    <mergeCell ref="B19:E19"/>
    <mergeCell ref="B40:J40"/>
    <mergeCell ref="B31:I31"/>
    <mergeCell ref="B32:I32"/>
    <mergeCell ref="B33:I33"/>
    <mergeCell ref="B34:I34"/>
    <mergeCell ref="B37:J37"/>
    <mergeCell ref="B49:J49"/>
    <mergeCell ref="B43:J43"/>
    <mergeCell ref="B44:J44"/>
    <mergeCell ref="B46:J46"/>
    <mergeCell ref="B48:J48"/>
    <mergeCell ref="A24:C24"/>
    <mergeCell ref="A26:K26"/>
    <mergeCell ref="A28:K28"/>
    <mergeCell ref="B77:I77"/>
    <mergeCell ref="B94:I94"/>
    <mergeCell ref="B79:I79"/>
    <mergeCell ref="B78:I78"/>
    <mergeCell ref="B67:I67"/>
    <mergeCell ref="B75:I75"/>
    <mergeCell ref="B76:I76"/>
    <mergeCell ref="B66:I66"/>
    <mergeCell ref="B64:I64"/>
    <mergeCell ref="B82:I82"/>
    <mergeCell ref="B80:I80"/>
    <mergeCell ref="B81:I81"/>
    <mergeCell ref="B69:I69"/>
    <mergeCell ref="B83:I83"/>
    <mergeCell ref="B84:I84"/>
    <mergeCell ref="B85:I85"/>
    <mergeCell ref="B86:I86"/>
    <mergeCell ref="B87:I87"/>
    <mergeCell ref="B70:I70"/>
    <mergeCell ref="B88:I88"/>
    <mergeCell ref="B89:I89"/>
    <mergeCell ref="B90:I90"/>
    <mergeCell ref="B91:I91"/>
    <mergeCell ref="B71:I71"/>
    <mergeCell ref="B127:I127"/>
    <mergeCell ref="B123:I123"/>
    <mergeCell ref="B126:I126"/>
    <mergeCell ref="B118:I118"/>
    <mergeCell ref="B117:I117"/>
    <mergeCell ref="B120:I120"/>
    <mergeCell ref="B121:I121"/>
    <mergeCell ref="B104:I104"/>
    <mergeCell ref="B119:I119"/>
    <mergeCell ref="B122:I122"/>
    <mergeCell ref="B124:I124"/>
    <mergeCell ref="B125:I125"/>
    <mergeCell ref="B112:I112"/>
    <mergeCell ref="B113:I113"/>
    <mergeCell ref="B114:I114"/>
    <mergeCell ref="B116:I116"/>
    <mergeCell ref="B107:I107"/>
    <mergeCell ref="B105:I105"/>
    <mergeCell ref="B108:I108"/>
    <mergeCell ref="B109:I109"/>
    <mergeCell ref="B110:I110"/>
    <mergeCell ref="B111:I111"/>
    <mergeCell ref="B115:I115"/>
    <mergeCell ref="B135:I135"/>
    <mergeCell ref="B136:I136"/>
    <mergeCell ref="B137:I137"/>
    <mergeCell ref="B134:I134"/>
    <mergeCell ref="B138:I138"/>
    <mergeCell ref="B130:I130"/>
    <mergeCell ref="B131:I131"/>
    <mergeCell ref="B132:I132"/>
    <mergeCell ref="B129:I129"/>
    <mergeCell ref="B133:I133"/>
    <mergeCell ref="B62:I62"/>
    <mergeCell ref="A150:D150"/>
    <mergeCell ref="G151:K151"/>
    <mergeCell ref="G152:K152"/>
    <mergeCell ref="B7:J7"/>
    <mergeCell ref="B8:J8"/>
    <mergeCell ref="B96:I96"/>
    <mergeCell ref="B97:I97"/>
    <mergeCell ref="B99:I99"/>
    <mergeCell ref="B100:I100"/>
    <mergeCell ref="B101:I101"/>
    <mergeCell ref="B98:I98"/>
    <mergeCell ref="B102:I102"/>
    <mergeCell ref="B103:I103"/>
    <mergeCell ref="B95:I95"/>
    <mergeCell ref="B148:I148"/>
    <mergeCell ref="B128:I128"/>
    <mergeCell ref="B147:I147"/>
    <mergeCell ref="B144:I144"/>
    <mergeCell ref="B145:I145"/>
    <mergeCell ref="B143:I143"/>
    <mergeCell ref="B139:I139"/>
    <mergeCell ref="B140:I140"/>
    <mergeCell ref="B141:I141"/>
  </mergeCells>
  <phoneticPr fontId="42" type="noConversion"/>
  <pageMargins left="0.7" right="0.7" top="0.75" bottom="0.75" header="0.3" footer="0.3"/>
  <pageSetup paperSize="9" scale="82" fitToHeight="0" orientation="portrait" r:id="rId1"/>
  <rowBreaks count="2" manualBreakCount="2">
    <brk id="50" max="10" man="1"/>
    <brk id="105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016"/>
  <sheetViews>
    <sheetView showGridLines="0" view="pageBreakPreview" topLeftCell="A82" zoomScale="110" zoomScaleNormal="110" zoomScaleSheetLayoutView="110" workbookViewId="0">
      <selection activeCell="D399" sqref="D399:E399"/>
    </sheetView>
  </sheetViews>
  <sheetFormatPr defaultColWidth="9.140625" defaultRowHeight="15" x14ac:dyDescent="0.25"/>
  <cols>
    <col min="1" max="1" width="9.140625" style="104"/>
    <col min="2" max="2" width="5.28515625" style="104" customWidth="1"/>
    <col min="3" max="3" width="10.85546875" style="104" customWidth="1"/>
    <col min="4" max="4" width="10.42578125" style="104" customWidth="1"/>
    <col min="5" max="5" width="21.42578125" style="104" customWidth="1"/>
    <col min="6" max="6" width="11.7109375" style="104" customWidth="1"/>
    <col min="7" max="7" width="10.140625" style="104" customWidth="1"/>
    <col min="8" max="8" width="10" style="104" bestFit="1" customWidth="1"/>
    <col min="9" max="9" width="9.42578125" style="104" customWidth="1"/>
    <col min="10" max="10" width="9.85546875" style="104" customWidth="1"/>
    <col min="11" max="11" width="9" style="104" customWidth="1"/>
    <col min="12" max="12" width="13.5703125" style="104" customWidth="1"/>
    <col min="13" max="13" width="15.5703125" style="104" customWidth="1"/>
    <col min="14" max="14" width="20.5703125" style="104" customWidth="1"/>
    <col min="15" max="15" width="20.85546875" style="104" customWidth="1"/>
    <col min="16" max="16" width="14.42578125" style="104" customWidth="1"/>
    <col min="17" max="17" width="15" style="104" customWidth="1"/>
    <col min="18" max="18" width="13.7109375" style="104" customWidth="1"/>
    <col min="19" max="16384" width="9.140625" style="104"/>
  </cols>
  <sheetData>
    <row r="1" spans="1:17" ht="18.75" hidden="1" x14ac:dyDescent="0.3">
      <c r="E1" s="832" t="s">
        <v>267</v>
      </c>
      <c r="F1" s="832"/>
      <c r="G1" s="832"/>
      <c r="H1" s="832"/>
      <c r="I1" s="832"/>
      <c r="J1" s="832"/>
    </row>
    <row r="2" spans="1:17" ht="15.75" hidden="1" thickBot="1" x14ac:dyDescent="0.3"/>
    <row r="3" spans="1:17" ht="15.75" hidden="1" thickBot="1" x14ac:dyDescent="0.3">
      <c r="C3" s="729" t="s">
        <v>4</v>
      </c>
      <c r="D3" s="731"/>
      <c r="E3" s="729" t="s">
        <v>76</v>
      </c>
      <c r="F3" s="730"/>
      <c r="G3" s="730"/>
      <c r="H3" s="730"/>
      <c r="I3" s="731"/>
      <c r="J3" s="105"/>
    </row>
    <row r="4" spans="1:17" ht="23.25" hidden="1" thickBot="1" x14ac:dyDescent="0.3">
      <c r="C4" s="833" t="s">
        <v>37</v>
      </c>
      <c r="D4" s="834"/>
      <c r="E4" s="835" t="s">
        <v>38</v>
      </c>
      <c r="F4" s="836"/>
      <c r="G4" s="232" t="s">
        <v>270</v>
      </c>
      <c r="H4" s="54" t="s">
        <v>271</v>
      </c>
      <c r="I4" s="106"/>
      <c r="J4" s="107" t="s">
        <v>42</v>
      </c>
    </row>
    <row r="5" spans="1:17" hidden="1" x14ac:dyDescent="0.25">
      <c r="C5" s="837" t="s">
        <v>19</v>
      </c>
      <c r="D5" s="737"/>
      <c r="E5" s="838" t="s">
        <v>86</v>
      </c>
      <c r="F5" s="809"/>
      <c r="G5" s="237" t="s">
        <v>301</v>
      </c>
      <c r="H5" s="108"/>
      <c r="I5" s="242" t="s">
        <v>324</v>
      </c>
      <c r="J5" s="413" t="s">
        <v>320</v>
      </c>
      <c r="K5" s="456" t="s">
        <v>329</v>
      </c>
      <c r="L5" s="430"/>
    </row>
    <row r="6" spans="1:17" hidden="1" x14ac:dyDescent="0.25">
      <c r="C6" s="60" t="s">
        <v>276</v>
      </c>
      <c r="D6" s="61" t="s">
        <v>272</v>
      </c>
      <c r="E6" s="839" t="s">
        <v>232</v>
      </c>
      <c r="F6" s="840"/>
      <c r="G6" s="840"/>
      <c r="H6" s="840"/>
      <c r="I6" s="841"/>
      <c r="J6" s="414"/>
      <c r="K6" s="457"/>
      <c r="L6" s="431"/>
    </row>
    <row r="7" spans="1:17" ht="15.75" hidden="1" thickBot="1" x14ac:dyDescent="0.3">
      <c r="C7" s="233"/>
      <c r="D7" s="234"/>
      <c r="E7" s="230"/>
      <c r="F7" s="254" t="s">
        <v>266</v>
      </c>
      <c r="G7" s="255" t="s">
        <v>653</v>
      </c>
      <c r="H7" s="255">
        <v>174</v>
      </c>
      <c r="I7" s="246"/>
      <c r="J7" s="415"/>
      <c r="K7" s="458"/>
      <c r="L7" s="431"/>
    </row>
    <row r="8" spans="1:17" hidden="1" x14ac:dyDescent="0.25">
      <c r="A8" s="265"/>
      <c r="C8" s="238" t="s">
        <v>277</v>
      </c>
      <c r="D8" s="239" t="s">
        <v>275</v>
      </c>
      <c r="E8" s="271" t="s">
        <v>650</v>
      </c>
      <c r="F8" s="272"/>
      <c r="G8" s="172">
        <f>2067.83*1.06*1.04</f>
        <v>2279.5757920000001</v>
      </c>
      <c r="H8" s="172">
        <f>G8/H7</f>
        <v>13.101010298850575</v>
      </c>
      <c r="I8" s="172"/>
      <c r="J8" s="415"/>
      <c r="K8" s="458"/>
      <c r="L8" s="431"/>
      <c r="Q8" s="265"/>
    </row>
    <row r="9" spans="1:17" hidden="1" x14ac:dyDescent="0.25">
      <c r="C9" s="243" t="s">
        <v>278</v>
      </c>
      <c r="D9" s="244" t="s">
        <v>275</v>
      </c>
      <c r="E9" s="274"/>
      <c r="F9" s="275"/>
      <c r="G9" s="172">
        <f>2129.64*1.06*1.04</f>
        <v>2347.7151360000003</v>
      </c>
      <c r="H9" s="172">
        <f>G9/H7</f>
        <v>13.492615724137933</v>
      </c>
      <c r="I9" s="172"/>
      <c r="J9" s="415"/>
      <c r="K9" s="458"/>
      <c r="L9" s="431"/>
    </row>
    <row r="10" spans="1:17" hidden="1" x14ac:dyDescent="0.25">
      <c r="C10" s="243" t="s">
        <v>279</v>
      </c>
      <c r="D10" s="244" t="s">
        <v>275</v>
      </c>
      <c r="E10" s="248" t="s">
        <v>298</v>
      </c>
      <c r="F10" s="273"/>
      <c r="G10" s="172">
        <f>1954.15*1.06*1.04</f>
        <v>2154.2549600000002</v>
      </c>
      <c r="H10" s="172">
        <f>G10/H7</f>
        <v>12.380775632183909</v>
      </c>
      <c r="I10" s="172"/>
      <c r="J10" s="415"/>
      <c r="K10" s="458"/>
      <c r="L10" s="431"/>
    </row>
    <row r="11" spans="1:17" hidden="1" x14ac:dyDescent="0.25">
      <c r="C11" s="243" t="s">
        <v>280</v>
      </c>
      <c r="D11" s="244" t="s">
        <v>275</v>
      </c>
      <c r="E11" s="248" t="s">
        <v>299</v>
      </c>
      <c r="F11" s="273"/>
      <c r="G11" s="172">
        <f>1864.43*1.06*1.04</f>
        <v>2055.347632</v>
      </c>
      <c r="H11" s="172">
        <f>G11/H7</f>
        <v>11.812342712643678</v>
      </c>
      <c r="I11" s="172"/>
      <c r="J11" s="415"/>
      <c r="K11" s="458"/>
      <c r="L11" s="431"/>
    </row>
    <row r="12" spans="1:17" hidden="1" x14ac:dyDescent="0.25">
      <c r="C12" s="243" t="s">
        <v>273</v>
      </c>
      <c r="D12" s="244" t="s">
        <v>275</v>
      </c>
      <c r="E12" s="248" t="s">
        <v>300</v>
      </c>
      <c r="F12" s="273"/>
      <c r="G12" s="172">
        <f>2053.84*1.06*1.04</f>
        <v>2264.1532160000002</v>
      </c>
      <c r="H12" s="172">
        <f>G12/H7</f>
        <v>13.012374804597702</v>
      </c>
      <c r="I12" s="172"/>
      <c r="J12" s="418"/>
      <c r="K12" s="458"/>
      <c r="L12" s="431"/>
    </row>
    <row r="13" spans="1:17" hidden="1" x14ac:dyDescent="0.25">
      <c r="C13" s="243" t="s">
        <v>281</v>
      </c>
      <c r="D13" s="244" t="s">
        <v>275</v>
      </c>
      <c r="E13" s="248" t="s">
        <v>358</v>
      </c>
      <c r="F13" s="273"/>
      <c r="G13" s="172">
        <f>2148.4*1.06*1.04</f>
        <v>2368.3961600000002</v>
      </c>
      <c r="H13" s="172">
        <f>G13/H7</f>
        <v>13.611472183908047</v>
      </c>
      <c r="I13" s="454"/>
      <c r="J13" s="455"/>
      <c r="K13" s="459"/>
      <c r="L13" s="431"/>
    </row>
    <row r="14" spans="1:17" hidden="1" x14ac:dyDescent="0.25">
      <c r="C14" s="243" t="s">
        <v>282</v>
      </c>
      <c r="D14" s="244" t="s">
        <v>275</v>
      </c>
      <c r="E14" s="248" t="s">
        <v>537</v>
      </c>
      <c r="F14" s="275"/>
      <c r="G14" s="172">
        <f>2172.31*1.06*1.04</f>
        <v>2394.7545439999999</v>
      </c>
      <c r="H14" s="172">
        <f>G14/H7</f>
        <v>13.762957149425286</v>
      </c>
      <c r="I14" s="172"/>
      <c r="J14" s="169"/>
      <c r="K14" s="418"/>
      <c r="L14" s="431"/>
    </row>
    <row r="15" spans="1:17" ht="15.75" hidden="1" thickBot="1" x14ac:dyDescent="0.3">
      <c r="C15" s="243" t="s">
        <v>274</v>
      </c>
      <c r="D15" s="244" t="s">
        <v>275</v>
      </c>
      <c r="E15" s="248" t="s">
        <v>538</v>
      </c>
      <c r="F15" s="273"/>
      <c r="G15" s="174">
        <f>2148.4*1.06*1.04</f>
        <v>2368.3961600000002</v>
      </c>
      <c r="H15" s="174">
        <f>G15/H7</f>
        <v>13.611472183908047</v>
      </c>
      <c r="I15" s="173">
        <f>8*H7</f>
        <v>1392</v>
      </c>
      <c r="J15" s="257">
        <f>I15/I74</f>
        <v>0.2831858407079646</v>
      </c>
      <c r="K15" s="460"/>
      <c r="L15" s="431"/>
    </row>
    <row r="16" spans="1:17" ht="15.75" hidden="1" thickTop="1" x14ac:dyDescent="0.25">
      <c r="C16" s="243"/>
      <c r="D16" s="244"/>
      <c r="E16" s="235"/>
      <c r="F16" s="236"/>
      <c r="G16" s="177">
        <f>SUM(G8:G15)</f>
        <v>18232.5936</v>
      </c>
      <c r="H16" s="177">
        <f>SUM(H8:H15)/8</f>
        <v>13.098127586206898</v>
      </c>
      <c r="I16" s="177">
        <f>G16/I15</f>
        <v>13.098127586206896</v>
      </c>
      <c r="J16" s="365">
        <f>J15</f>
        <v>0.2831858407079646</v>
      </c>
      <c r="K16" s="417">
        <f>H16*J15</f>
        <v>3.7092042722001834</v>
      </c>
      <c r="L16" s="431"/>
    </row>
    <row r="17" spans="3:12" hidden="1" x14ac:dyDescent="0.25">
      <c r="C17" s="243"/>
      <c r="D17" s="244"/>
      <c r="E17" s="819" t="s">
        <v>215</v>
      </c>
      <c r="F17" s="820"/>
      <c r="G17" s="268">
        <v>0.24690000000000001</v>
      </c>
      <c r="H17" s="27">
        <f>H16*G17</f>
        <v>3.2339277010344833</v>
      </c>
      <c r="I17" s="121"/>
      <c r="J17" s="256"/>
      <c r="K17" s="417"/>
      <c r="L17" s="431"/>
    </row>
    <row r="18" spans="3:12" ht="41.25" hidden="1" customHeight="1" thickBot="1" x14ac:dyDescent="0.3">
      <c r="C18" s="243"/>
      <c r="D18" s="244"/>
      <c r="E18" s="821" t="s">
        <v>164</v>
      </c>
      <c r="F18" s="747"/>
      <c r="G18" s="269">
        <v>3.5000000000000003E-2</v>
      </c>
      <c r="H18" s="188">
        <f>H16*G18</f>
        <v>0.45843446551724149</v>
      </c>
      <c r="I18" s="124"/>
      <c r="J18" s="169"/>
      <c r="K18" s="169"/>
      <c r="L18" s="431"/>
    </row>
    <row r="19" spans="3:12" ht="15.75" hidden="1" thickTop="1" x14ac:dyDescent="0.25">
      <c r="C19" s="243"/>
      <c r="D19" s="244"/>
      <c r="E19" s="235"/>
      <c r="F19" s="236"/>
      <c r="G19" s="177"/>
      <c r="H19" s="121">
        <f>SUM(H16:H18)</f>
        <v>16.790489752758624</v>
      </c>
      <c r="I19" s="245"/>
      <c r="J19" s="256"/>
      <c r="K19" s="417"/>
      <c r="L19" s="431"/>
    </row>
    <row r="20" spans="3:12" hidden="1" x14ac:dyDescent="0.25">
      <c r="C20" s="243"/>
      <c r="D20" s="244"/>
      <c r="E20" s="844" t="s">
        <v>313</v>
      </c>
      <c r="F20" s="845"/>
      <c r="G20" s="172"/>
      <c r="H20" s="172"/>
      <c r="I20" s="172"/>
      <c r="J20" s="170"/>
      <c r="K20" s="415"/>
      <c r="L20" s="431"/>
    </row>
    <row r="21" spans="3:12" hidden="1" x14ac:dyDescent="0.25">
      <c r="C21" s="240" t="s">
        <v>283</v>
      </c>
      <c r="D21" s="241" t="s">
        <v>285</v>
      </c>
      <c r="E21" s="248" t="s">
        <v>536</v>
      </c>
      <c r="F21" s="273"/>
      <c r="G21" s="172">
        <f>2178.05*1.06*1.04</f>
        <v>2401.0823200000004</v>
      </c>
      <c r="H21" s="172">
        <f>G21/H7</f>
        <v>13.799323678160922</v>
      </c>
      <c r="I21" s="172"/>
      <c r="J21" s="170"/>
      <c r="K21" s="415"/>
      <c r="L21" s="431"/>
    </row>
    <row r="22" spans="3:12" hidden="1" x14ac:dyDescent="0.25">
      <c r="C22" s="240" t="s">
        <v>275</v>
      </c>
      <c r="D22" s="241" t="s">
        <v>285</v>
      </c>
      <c r="E22" s="248" t="s">
        <v>302</v>
      </c>
      <c r="F22" s="273"/>
      <c r="G22" s="172">
        <f>2140.05*1.06*1.04</f>
        <v>2359.1911200000004</v>
      </c>
      <c r="H22" s="172">
        <f>G22/H7</f>
        <v>13.558569655172416</v>
      </c>
      <c r="I22" s="172"/>
      <c r="J22" s="170"/>
      <c r="K22" s="415"/>
      <c r="L22" s="431"/>
    </row>
    <row r="23" spans="3:12" hidden="1" x14ac:dyDescent="0.25">
      <c r="C23" s="240" t="s">
        <v>284</v>
      </c>
      <c r="D23" s="241" t="s">
        <v>285</v>
      </c>
      <c r="E23" s="248" t="s">
        <v>304</v>
      </c>
      <c r="F23" s="273"/>
      <c r="G23" s="172">
        <f>2176.58*1.06*1.04</f>
        <v>2399.4617920000005</v>
      </c>
      <c r="H23" s="172">
        <f>G23/H7</f>
        <v>13.790010298850577</v>
      </c>
      <c r="I23" s="172"/>
      <c r="J23" s="170"/>
      <c r="K23" s="415"/>
      <c r="L23" s="431"/>
    </row>
    <row r="24" spans="3:12" hidden="1" x14ac:dyDescent="0.25">
      <c r="C24" s="240" t="s">
        <v>285</v>
      </c>
      <c r="D24" s="241" t="s">
        <v>285</v>
      </c>
      <c r="E24" s="248" t="s">
        <v>305</v>
      </c>
      <c r="F24" s="273"/>
      <c r="G24" s="172">
        <f>1928.95*1.06*1.04</f>
        <v>2126.4744800000003</v>
      </c>
      <c r="H24" s="172">
        <f>G24/H7</f>
        <v>12.221117701149428</v>
      </c>
      <c r="I24" s="172"/>
      <c r="J24" s="170"/>
      <c r="K24" s="415"/>
      <c r="L24" s="431"/>
    </row>
    <row r="25" spans="3:12" hidden="1" x14ac:dyDescent="0.25">
      <c r="C25" s="240" t="s">
        <v>286</v>
      </c>
      <c r="D25" s="241" t="s">
        <v>285</v>
      </c>
      <c r="E25" s="248" t="s">
        <v>306</v>
      </c>
      <c r="F25" s="273"/>
      <c r="G25" s="172">
        <f>2160.56*1.06*1.04</f>
        <v>2381.801344</v>
      </c>
      <c r="H25" s="172">
        <f>G25/H7</f>
        <v>13.688513471264368</v>
      </c>
      <c r="I25" s="172"/>
      <c r="J25" s="170"/>
      <c r="K25" s="415"/>
      <c r="L25" s="431"/>
    </row>
    <row r="26" spans="3:12" hidden="1" x14ac:dyDescent="0.25">
      <c r="C26" s="240" t="s">
        <v>287</v>
      </c>
      <c r="D26" s="241" t="s">
        <v>285</v>
      </c>
      <c r="E26" s="248" t="s">
        <v>307</v>
      </c>
      <c r="F26" s="273"/>
      <c r="G26" s="172">
        <f>2148.4*1.06*1.04</f>
        <v>2368.3961600000002</v>
      </c>
      <c r="H26" s="172">
        <f>G26/H7</f>
        <v>13.611472183908047</v>
      </c>
      <c r="I26" s="172"/>
      <c r="J26" s="170"/>
      <c r="K26" s="415"/>
      <c r="L26" s="431"/>
    </row>
    <row r="27" spans="3:12" hidden="1" x14ac:dyDescent="0.25">
      <c r="C27" s="240" t="s">
        <v>288</v>
      </c>
      <c r="D27" s="241" t="s">
        <v>285</v>
      </c>
      <c r="E27" s="248" t="s">
        <v>308</v>
      </c>
      <c r="F27" s="273"/>
      <c r="G27" s="172">
        <f>2196.84*1.06*1.04</f>
        <v>2421.7964160000006</v>
      </c>
      <c r="H27" s="172">
        <f>G27/H7</f>
        <v>13.918370206896554</v>
      </c>
      <c r="I27" s="172"/>
      <c r="J27" s="170"/>
      <c r="K27" s="415"/>
      <c r="L27" s="431"/>
    </row>
    <row r="28" spans="3:12" ht="15.75" hidden="1" thickBot="1" x14ac:dyDescent="0.3">
      <c r="C28" s="240" t="s">
        <v>341</v>
      </c>
      <c r="D28" s="241" t="s">
        <v>285</v>
      </c>
      <c r="E28" s="248" t="s">
        <v>309</v>
      </c>
      <c r="F28" s="273"/>
      <c r="G28" s="174">
        <f>2053.71*1.06*1.04</f>
        <v>2264.009904</v>
      </c>
      <c r="H28" s="174">
        <f>G28/H7</f>
        <v>13.011551172413792</v>
      </c>
      <c r="I28" s="173">
        <f>H7*8</f>
        <v>1392</v>
      </c>
      <c r="J28" s="257">
        <f>I28/I74</f>
        <v>0.2831858407079646</v>
      </c>
      <c r="K28" s="416"/>
      <c r="L28" s="431"/>
    </row>
    <row r="29" spans="3:12" ht="15.75" hidden="1" thickTop="1" x14ac:dyDescent="0.25">
      <c r="C29" s="240"/>
      <c r="D29" s="241"/>
      <c r="E29" s="235"/>
      <c r="F29" s="236"/>
      <c r="G29" s="177">
        <f>SUM(G21:G28)</f>
        <v>18722.213535999999</v>
      </c>
      <c r="H29" s="177">
        <f>SUM(H21:H28)/8</f>
        <v>13.449866045977013</v>
      </c>
      <c r="I29" s="177">
        <f>G29/I28</f>
        <v>13.449866045977011</v>
      </c>
      <c r="J29" s="365">
        <f>J28</f>
        <v>0.2831858407079646</v>
      </c>
      <c r="K29" s="599">
        <f>H29*J28</f>
        <v>3.808811623639508</v>
      </c>
      <c r="L29" s="431"/>
    </row>
    <row r="30" spans="3:12" hidden="1" x14ac:dyDescent="0.25">
      <c r="C30" s="240"/>
      <c r="D30" s="241"/>
      <c r="E30" s="819" t="s">
        <v>215</v>
      </c>
      <c r="F30" s="820"/>
      <c r="G30" s="268">
        <v>0.24690000000000001</v>
      </c>
      <c r="H30" s="27">
        <f>H29*G30</f>
        <v>3.3207719267517244</v>
      </c>
      <c r="I30" s="121"/>
      <c r="J30" s="123"/>
      <c r="K30" s="417"/>
      <c r="L30" s="431"/>
    </row>
    <row r="31" spans="3:12" ht="48.75" hidden="1" customHeight="1" thickBot="1" x14ac:dyDescent="0.3">
      <c r="C31" s="240"/>
      <c r="D31" s="241"/>
      <c r="E31" s="821" t="s">
        <v>164</v>
      </c>
      <c r="F31" s="747"/>
      <c r="G31" s="269">
        <v>3.5000000000000003E-2</v>
      </c>
      <c r="H31" s="188">
        <f>H29*G31</f>
        <v>0.47074531160919547</v>
      </c>
      <c r="I31" s="124"/>
      <c r="J31" s="125"/>
      <c r="K31" s="598"/>
      <c r="L31" s="431"/>
    </row>
    <row r="32" spans="3:12" ht="15.75" hidden="1" thickTop="1" x14ac:dyDescent="0.25">
      <c r="C32" s="240"/>
      <c r="D32" s="241"/>
      <c r="E32" s="235"/>
      <c r="F32" s="236"/>
      <c r="G32" s="177"/>
      <c r="H32" s="121">
        <f>SUM(H29:H31)</f>
        <v>17.241383284337932</v>
      </c>
      <c r="I32" s="245"/>
      <c r="J32" s="256"/>
      <c r="K32" s="417"/>
      <c r="L32" s="431"/>
    </row>
    <row r="33" spans="3:12" hidden="1" x14ac:dyDescent="0.25">
      <c r="C33" s="243"/>
      <c r="D33" s="244"/>
      <c r="E33" s="844" t="s">
        <v>347</v>
      </c>
      <c r="F33" s="845"/>
      <c r="G33" s="172"/>
      <c r="H33" s="172"/>
      <c r="I33" s="172"/>
      <c r="J33" s="170"/>
      <c r="K33" s="415"/>
      <c r="L33" s="431"/>
    </row>
    <row r="34" spans="3:12" hidden="1" x14ac:dyDescent="0.25">
      <c r="C34" s="243" t="s">
        <v>342</v>
      </c>
      <c r="D34" s="244" t="s">
        <v>287</v>
      </c>
      <c r="E34" s="248" t="s">
        <v>310</v>
      </c>
      <c r="F34" s="273"/>
      <c r="G34" s="266">
        <f>1984.45*1.06*1.04</f>
        <v>2187.6576800000003</v>
      </c>
      <c r="H34" s="172">
        <f>G34/H7</f>
        <v>12.572745287356323</v>
      </c>
      <c r="I34" s="172"/>
      <c r="J34" s="170"/>
      <c r="K34" s="415"/>
      <c r="L34" s="431"/>
    </row>
    <row r="35" spans="3:12" hidden="1" x14ac:dyDescent="0.25">
      <c r="C35" s="243" t="s">
        <v>343</v>
      </c>
      <c r="D35" s="244" t="s">
        <v>287</v>
      </c>
      <c r="E35" s="248" t="s">
        <v>311</v>
      </c>
      <c r="F35" s="273"/>
      <c r="G35" s="172">
        <f>2192.51*1.06*1.04</f>
        <v>2417.0230240000005</v>
      </c>
      <c r="H35" s="172">
        <f>G35/H7</f>
        <v>13.890936919540232</v>
      </c>
      <c r="I35" s="172"/>
      <c r="J35" s="170"/>
      <c r="K35" s="415"/>
      <c r="L35" s="431"/>
    </row>
    <row r="36" spans="3:12" hidden="1" x14ac:dyDescent="0.25">
      <c r="C36" s="243" t="s">
        <v>344</v>
      </c>
      <c r="D36" s="244" t="s">
        <v>287</v>
      </c>
      <c r="E36" s="248" t="s">
        <v>312</v>
      </c>
      <c r="F36" s="273"/>
      <c r="G36" s="172">
        <f>2577.29*1.06</f>
        <v>2731.9274</v>
      </c>
      <c r="H36" s="172">
        <f>G36/H7</f>
        <v>15.700732183908046</v>
      </c>
      <c r="I36" s="172"/>
      <c r="J36" s="170"/>
      <c r="K36" s="415"/>
      <c r="L36" s="431"/>
    </row>
    <row r="37" spans="3:12" hidden="1" x14ac:dyDescent="0.25">
      <c r="C37" s="243" t="s">
        <v>289</v>
      </c>
      <c r="D37" s="244" t="s">
        <v>287</v>
      </c>
      <c r="E37" s="248" t="s">
        <v>651</v>
      </c>
      <c r="F37" s="273"/>
      <c r="G37" s="592">
        <f>2240.06*1.06*1.04</f>
        <v>2469.4421440000001</v>
      </c>
      <c r="H37" s="592">
        <f>G37/H7</f>
        <v>14.192196229885058</v>
      </c>
      <c r="I37" s="592"/>
      <c r="J37" s="170"/>
      <c r="K37" s="415"/>
      <c r="L37" s="431"/>
    </row>
    <row r="38" spans="3:12" ht="15.75" hidden="1" thickBot="1" x14ac:dyDescent="0.3">
      <c r="C38" s="243" t="s">
        <v>290</v>
      </c>
      <c r="D38" s="244" t="s">
        <v>287</v>
      </c>
      <c r="E38" s="248" t="s">
        <v>315</v>
      </c>
      <c r="F38" s="273"/>
      <c r="G38" s="267">
        <f>2323.46*1.06</f>
        <v>2462.8676</v>
      </c>
      <c r="H38" s="174">
        <f>G38/H7</f>
        <v>14.154411494252873</v>
      </c>
      <c r="I38" s="173">
        <f>5*H7</f>
        <v>870</v>
      </c>
      <c r="J38" s="257">
        <f>I38/I74</f>
        <v>0.17699115044247787</v>
      </c>
      <c r="K38" s="416"/>
      <c r="L38" s="431"/>
    </row>
    <row r="39" spans="3:12" ht="15.75" hidden="1" thickTop="1" x14ac:dyDescent="0.25">
      <c r="C39" s="243"/>
      <c r="D39" s="244"/>
      <c r="E39" s="248"/>
      <c r="F39" s="273"/>
      <c r="G39" s="587"/>
      <c r="H39" s="588"/>
      <c r="I39" s="589"/>
      <c r="J39" s="590"/>
      <c r="K39" s="591"/>
      <c r="L39" s="431"/>
    </row>
    <row r="40" spans="3:12" hidden="1" x14ac:dyDescent="0.25">
      <c r="C40" s="243"/>
      <c r="D40" s="244"/>
      <c r="E40" s="235"/>
      <c r="F40" s="236"/>
      <c r="G40" s="177">
        <f>SUM(G34:G38)</f>
        <v>12268.917848000001</v>
      </c>
      <c r="H40" s="177">
        <f>SUM(H34:H38)/5</f>
        <v>14.102204422988507</v>
      </c>
      <c r="I40" s="177">
        <f>G40/I38</f>
        <v>14.102204422988507</v>
      </c>
      <c r="J40" s="365">
        <f>J38</f>
        <v>0.17699115044247787</v>
      </c>
      <c r="K40" s="417">
        <f>H40*J38</f>
        <v>2.4959653845997356</v>
      </c>
      <c r="L40" s="431"/>
    </row>
    <row r="41" spans="3:12" hidden="1" x14ac:dyDescent="0.25">
      <c r="C41" s="243"/>
      <c r="D41" s="244"/>
      <c r="E41" s="819" t="s">
        <v>215</v>
      </c>
      <c r="F41" s="820"/>
      <c r="G41" s="268">
        <v>0.24690000000000001</v>
      </c>
      <c r="H41" s="27">
        <f>H40*G41</f>
        <v>3.4818342720358624</v>
      </c>
      <c r="I41" s="121"/>
      <c r="J41" s="256"/>
      <c r="K41" s="417"/>
      <c r="L41" s="431"/>
    </row>
    <row r="42" spans="3:12" ht="37.5" hidden="1" customHeight="1" thickBot="1" x14ac:dyDescent="0.3">
      <c r="C42" s="243"/>
      <c r="D42" s="244"/>
      <c r="E42" s="821" t="s">
        <v>164</v>
      </c>
      <c r="F42" s="747"/>
      <c r="G42" s="269">
        <v>3.5000000000000003E-2</v>
      </c>
      <c r="H42" s="188">
        <f>H40*G42</f>
        <v>0.4935771548045978</v>
      </c>
      <c r="I42" s="124"/>
      <c r="J42" s="256"/>
      <c r="K42" s="417"/>
      <c r="L42" s="431"/>
    </row>
    <row r="43" spans="3:12" ht="15.75" hidden="1" thickTop="1" x14ac:dyDescent="0.25">
      <c r="C43" s="243"/>
      <c r="D43" s="244"/>
      <c r="E43" s="235"/>
      <c r="F43" s="236"/>
      <c r="G43" s="177"/>
      <c r="H43" s="121">
        <f>SUM(H40:H42)</f>
        <v>18.077615849828966</v>
      </c>
      <c r="I43" s="245"/>
      <c r="J43" s="256"/>
      <c r="K43" s="417"/>
      <c r="L43" s="431"/>
    </row>
    <row r="44" spans="3:12" hidden="1" x14ac:dyDescent="0.25">
      <c r="C44" s="240"/>
      <c r="D44" s="241"/>
      <c r="E44" s="844" t="s">
        <v>348</v>
      </c>
      <c r="F44" s="845"/>
      <c r="G44" s="172"/>
      <c r="H44" s="172"/>
      <c r="I44" s="172"/>
      <c r="J44" s="170"/>
      <c r="K44" s="415"/>
      <c r="L44" s="431"/>
    </row>
    <row r="45" spans="3:12" hidden="1" x14ac:dyDescent="0.25">
      <c r="C45" s="240" t="s">
        <v>291</v>
      </c>
      <c r="D45" s="241" t="s">
        <v>317</v>
      </c>
      <c r="E45" s="248" t="s">
        <v>303</v>
      </c>
      <c r="F45" s="273"/>
      <c r="G45" s="172">
        <f>2347.06*1.06*1.04</f>
        <v>2587.398944</v>
      </c>
      <c r="H45" s="172">
        <f>G45/H7</f>
        <v>14.870108873563218</v>
      </c>
      <c r="I45" s="172"/>
      <c r="J45" s="170"/>
      <c r="K45" s="415"/>
      <c r="L45" s="431"/>
    </row>
    <row r="46" spans="3:12" hidden="1" x14ac:dyDescent="0.25">
      <c r="C46" s="240" t="s">
        <v>292</v>
      </c>
      <c r="D46" s="241" t="s">
        <v>287</v>
      </c>
      <c r="E46" s="248" t="s">
        <v>318</v>
      </c>
      <c r="F46" s="275"/>
      <c r="G46" s="172">
        <f>2238.49*1.06*1.04</f>
        <v>2467.7113759999997</v>
      </c>
      <c r="H46" s="172">
        <f>G46/H7</f>
        <v>14.182249287356321</v>
      </c>
      <c r="I46" s="172"/>
      <c r="J46" s="170"/>
      <c r="K46" s="415"/>
      <c r="L46" s="431"/>
    </row>
    <row r="47" spans="3:12" ht="15.75" hidden="1" thickBot="1" x14ac:dyDescent="0.3">
      <c r="C47" s="240" t="s">
        <v>294</v>
      </c>
      <c r="D47" s="241" t="s">
        <v>287</v>
      </c>
      <c r="E47" s="248" t="s">
        <v>323</v>
      </c>
      <c r="F47" s="273"/>
      <c r="G47" s="461">
        <f>2238.49*1.06*1.04</f>
        <v>2467.7113759999997</v>
      </c>
      <c r="H47" s="174">
        <f>G47/H7</f>
        <v>14.182249287356321</v>
      </c>
      <c r="I47" s="173">
        <f>H7*3</f>
        <v>522</v>
      </c>
      <c r="J47" s="257">
        <f>I47/I74</f>
        <v>0.10619469026548672</v>
      </c>
      <c r="K47" s="416"/>
      <c r="L47" s="431"/>
    </row>
    <row r="48" spans="3:12" ht="15.75" hidden="1" thickTop="1" x14ac:dyDescent="0.25">
      <c r="C48" s="240"/>
      <c r="D48" s="241"/>
      <c r="E48" s="235"/>
      <c r="F48" s="236"/>
      <c r="G48" s="177">
        <f>SUM(G45:G47)</f>
        <v>7522.8216959999991</v>
      </c>
      <c r="H48" s="177">
        <f>SUM(H45:H47)/3</f>
        <v>14.411535816091954</v>
      </c>
      <c r="I48" s="177">
        <f>G48/I47</f>
        <v>14.411535816091952</v>
      </c>
      <c r="J48" s="366">
        <f>J47</f>
        <v>0.10619469026548672</v>
      </c>
      <c r="K48" s="419">
        <f>J47*H48</f>
        <v>1.5304285822398536</v>
      </c>
      <c r="L48" s="431"/>
    </row>
    <row r="49" spans="3:12" hidden="1" x14ac:dyDescent="0.25">
      <c r="C49" s="240"/>
      <c r="D49" s="241"/>
      <c r="E49" s="819" t="s">
        <v>215</v>
      </c>
      <c r="F49" s="820"/>
      <c r="G49" s="268">
        <v>0.24690000000000001</v>
      </c>
      <c r="H49" s="27">
        <f>H48*G49</f>
        <v>3.5582081929931033</v>
      </c>
      <c r="I49" s="121"/>
      <c r="J49" s="258"/>
      <c r="K49" s="419"/>
      <c r="L49" s="431"/>
    </row>
    <row r="50" spans="3:12" ht="36" hidden="1" customHeight="1" thickBot="1" x14ac:dyDescent="0.3">
      <c r="C50" s="240"/>
      <c r="D50" s="241"/>
      <c r="E50" s="821" t="s">
        <v>164</v>
      </c>
      <c r="F50" s="747"/>
      <c r="G50" s="269">
        <v>3.5000000000000003E-2</v>
      </c>
      <c r="H50" s="188">
        <f>H48*G50</f>
        <v>0.50440375356321843</v>
      </c>
      <c r="I50" s="124"/>
      <c r="J50" s="258"/>
      <c r="K50" s="419"/>
      <c r="L50" s="431"/>
    </row>
    <row r="51" spans="3:12" ht="15.75" hidden="1" thickTop="1" x14ac:dyDescent="0.25">
      <c r="C51" s="240"/>
      <c r="D51" s="241"/>
      <c r="E51" s="235"/>
      <c r="F51" s="236"/>
      <c r="G51" s="177"/>
      <c r="H51" s="121">
        <f>SUM(H48:H50)</f>
        <v>18.474147762648276</v>
      </c>
      <c r="I51" s="245"/>
      <c r="J51" s="258"/>
      <c r="K51" s="419"/>
      <c r="L51" s="431"/>
    </row>
    <row r="52" spans="3:12" hidden="1" x14ac:dyDescent="0.25">
      <c r="C52" s="321"/>
      <c r="D52" s="322"/>
      <c r="E52" s="846" t="s">
        <v>326</v>
      </c>
      <c r="F52" s="847"/>
      <c r="G52" s="282"/>
      <c r="H52" s="282"/>
      <c r="I52" s="282"/>
      <c r="J52" s="323"/>
      <c r="K52" s="420"/>
      <c r="L52" s="431"/>
    </row>
    <row r="53" spans="3:12" hidden="1" x14ac:dyDescent="0.25">
      <c r="C53" s="285" t="s">
        <v>295</v>
      </c>
      <c r="D53" s="289" t="s">
        <v>295</v>
      </c>
      <c r="E53" s="290" t="s">
        <v>321</v>
      </c>
      <c r="F53" s="291"/>
      <c r="G53" s="292">
        <f>3216.33*1.06*1.04</f>
        <v>3545.6821920000002</v>
      </c>
      <c r="H53" s="287">
        <f>G53/H7</f>
        <v>20.377483862068967</v>
      </c>
      <c r="I53" s="293"/>
      <c r="J53" s="288"/>
      <c r="K53" s="421"/>
      <c r="L53" s="431"/>
    </row>
    <row r="54" spans="3:12" hidden="1" x14ac:dyDescent="0.25">
      <c r="C54" s="285" t="s">
        <v>293</v>
      </c>
      <c r="D54" s="289" t="s">
        <v>319</v>
      </c>
      <c r="E54" s="593" t="s">
        <v>314</v>
      </c>
      <c r="F54" s="594"/>
      <c r="G54" s="287">
        <f>3215.14*1.06*1.04</f>
        <v>3544.3703360000004</v>
      </c>
      <c r="H54" s="287">
        <f>G54/H7</f>
        <v>20.369944459770117</v>
      </c>
      <c r="I54" s="287"/>
      <c r="J54" s="288"/>
      <c r="K54" s="421"/>
      <c r="L54" s="431"/>
    </row>
    <row r="55" spans="3:12" ht="15.75" hidden="1" thickBot="1" x14ac:dyDescent="0.3">
      <c r="C55" s="285" t="s">
        <v>296</v>
      </c>
      <c r="D55" s="289" t="s">
        <v>297</v>
      </c>
      <c r="E55" s="290" t="s">
        <v>322</v>
      </c>
      <c r="F55" s="291">
        <v>158</v>
      </c>
      <c r="G55" s="294">
        <f>3888.66*1.06*1.04</f>
        <v>4286.858784</v>
      </c>
      <c r="H55" s="295">
        <f>G55/H7</f>
        <v>24.637119448275861</v>
      </c>
      <c r="I55" s="296">
        <f>H7*3</f>
        <v>522</v>
      </c>
      <c r="J55" s="297">
        <f>I55/I74</f>
        <v>0.10619469026548672</v>
      </c>
      <c r="K55" s="422"/>
      <c r="L55" s="431"/>
    </row>
    <row r="56" spans="3:12" ht="15.75" hidden="1" thickTop="1" x14ac:dyDescent="0.25">
      <c r="C56" s="285"/>
      <c r="D56" s="286"/>
      <c r="E56" s="299"/>
      <c r="F56" s="300"/>
      <c r="G56" s="301">
        <f>SUM(G53:G55)</f>
        <v>11376.911312</v>
      </c>
      <c r="H56" s="301">
        <f>(H53+H54+H55)/3</f>
        <v>21.794849256704982</v>
      </c>
      <c r="I56" s="302">
        <f>G56/I55</f>
        <v>21.794849256704982</v>
      </c>
      <c r="J56" s="367">
        <f>J55</f>
        <v>0.10619469026548672</v>
      </c>
      <c r="K56" s="334">
        <f>J55*H56</f>
        <v>2.3144972661987593</v>
      </c>
      <c r="L56" s="431"/>
    </row>
    <row r="57" spans="3:12" hidden="1" x14ac:dyDescent="0.25">
      <c r="C57" s="285"/>
      <c r="D57" s="286"/>
      <c r="E57" s="819" t="s">
        <v>215</v>
      </c>
      <c r="F57" s="820"/>
      <c r="G57" s="268">
        <v>0.24690000000000001</v>
      </c>
      <c r="H57" s="27">
        <f>H56*G57</f>
        <v>5.3811482814804599</v>
      </c>
      <c r="I57" s="121"/>
      <c r="J57" s="288"/>
      <c r="K57" s="421">
        <f>K56/24</f>
        <v>9.6437386091614966E-2</v>
      </c>
      <c r="L57" s="431"/>
    </row>
    <row r="58" spans="3:12" ht="51" hidden="1" customHeight="1" thickBot="1" x14ac:dyDescent="0.3">
      <c r="C58" s="309"/>
      <c r="D58" s="310"/>
      <c r="E58" s="821" t="s">
        <v>164</v>
      </c>
      <c r="F58" s="747"/>
      <c r="G58" s="269">
        <v>3.5000000000000003E-2</v>
      </c>
      <c r="H58" s="188">
        <f>H56*G58</f>
        <v>0.76281972398467446</v>
      </c>
      <c r="I58" s="124"/>
      <c r="J58" s="320"/>
      <c r="K58" s="333"/>
      <c r="L58" s="431"/>
    </row>
    <row r="59" spans="3:12" ht="15.75" hidden="1" thickTop="1" x14ac:dyDescent="0.25">
      <c r="C59" s="309"/>
      <c r="D59" s="310"/>
      <c r="E59" s="331"/>
      <c r="F59" s="332"/>
      <c r="G59" s="301"/>
      <c r="H59" s="121">
        <f>SUM(H56:H58)</f>
        <v>27.938817262170115</v>
      </c>
      <c r="I59" s="302"/>
      <c r="J59" s="320"/>
      <c r="K59" s="333"/>
      <c r="L59" s="431"/>
    </row>
    <row r="60" spans="3:12" hidden="1" x14ac:dyDescent="0.25">
      <c r="C60" s="309"/>
      <c r="D60" s="310"/>
      <c r="E60" s="328"/>
      <c r="F60" s="329"/>
      <c r="G60" s="316"/>
      <c r="H60" s="317"/>
      <c r="I60" s="330"/>
      <c r="J60" s="320"/>
      <c r="K60" s="333"/>
      <c r="L60" s="431"/>
    </row>
    <row r="61" spans="3:12" hidden="1" x14ac:dyDescent="0.25">
      <c r="C61" s="249"/>
      <c r="D61" s="250"/>
      <c r="E61" s="814" t="s">
        <v>327</v>
      </c>
      <c r="F61" s="815"/>
      <c r="G61" s="251">
        <f>G56+G48+G40+G29+G16</f>
        <v>68123.457992000011</v>
      </c>
      <c r="H61" s="252">
        <f>G61/I61</f>
        <v>14.500523199659431</v>
      </c>
      <c r="I61" s="253">
        <f>I55+I47+I38+I28+I15</f>
        <v>4698</v>
      </c>
      <c r="J61" s="259">
        <f>J15+J28+J38+J47+J55</f>
        <v>0.95575221238938046</v>
      </c>
      <c r="K61" s="423">
        <f>K16+K29+K40+K48+K56</f>
        <v>13.858907128878041</v>
      </c>
      <c r="L61" s="431"/>
    </row>
    <row r="62" spans="3:12" ht="15.75" hidden="1" thickBot="1" x14ac:dyDescent="0.3">
      <c r="C62" s="304"/>
      <c r="D62" s="305"/>
      <c r="E62" s="306"/>
      <c r="F62" s="307"/>
      <c r="G62" s="308"/>
      <c r="H62" s="295"/>
      <c r="I62" s="296"/>
      <c r="J62" s="600"/>
      <c r="K62" s="422"/>
      <c r="L62" s="431"/>
    </row>
    <row r="63" spans="3:12" ht="15.75" hidden="1" thickTop="1" x14ac:dyDescent="0.25">
      <c r="C63" s="278"/>
      <c r="D63" s="279"/>
      <c r="E63" s="848" t="s">
        <v>349</v>
      </c>
      <c r="F63" s="849"/>
      <c r="G63" s="280"/>
      <c r="H63" s="280"/>
      <c r="I63" s="280"/>
      <c r="J63" s="281"/>
      <c r="K63" s="424"/>
      <c r="L63" s="431"/>
    </row>
    <row r="64" spans="3:12" hidden="1" x14ac:dyDescent="0.25">
      <c r="C64" s="285" t="s">
        <v>297</v>
      </c>
      <c r="D64" s="289" t="s">
        <v>296</v>
      </c>
      <c r="E64" s="311" t="s">
        <v>325</v>
      </c>
      <c r="F64" s="312"/>
      <c r="G64" s="302">
        <f>2327.28*1.06*1.04</f>
        <v>2565.5934720000005</v>
      </c>
      <c r="H64" s="302">
        <f>G64/I64</f>
        <v>19.659720091954025</v>
      </c>
      <c r="I64" s="313">
        <v>130.5</v>
      </c>
      <c r="J64" s="288"/>
      <c r="K64" s="421"/>
      <c r="L64" s="431"/>
    </row>
    <row r="65" spans="3:16" ht="15.75" hidden="1" thickBot="1" x14ac:dyDescent="0.3">
      <c r="C65" s="285" t="s">
        <v>316</v>
      </c>
      <c r="D65" s="289" t="s">
        <v>291</v>
      </c>
      <c r="E65" s="311" t="s">
        <v>328</v>
      </c>
      <c r="F65" s="312"/>
      <c r="G65" s="295">
        <f>1425.52*1.06*1.04</f>
        <v>1571.4932480000002</v>
      </c>
      <c r="H65" s="295">
        <f>G65/I65</f>
        <v>18.063140781609199</v>
      </c>
      <c r="I65" s="296">
        <v>87</v>
      </c>
      <c r="J65" s="298"/>
      <c r="K65" s="298"/>
      <c r="L65" s="431"/>
    </row>
    <row r="66" spans="3:16" ht="15.75" hidden="1" thickTop="1" x14ac:dyDescent="0.25">
      <c r="C66" s="285"/>
      <c r="D66" s="286"/>
      <c r="E66" s="314"/>
      <c r="F66" s="315"/>
      <c r="G66" s="301">
        <f>SUM(G64:G65)</f>
        <v>4137.0867200000012</v>
      </c>
      <c r="H66" s="301">
        <f>SUM(H64:H65)/2</f>
        <v>18.86143043678161</v>
      </c>
      <c r="I66" s="313">
        <f>SUM(I64:I65)</f>
        <v>217.5</v>
      </c>
      <c r="J66" s="303">
        <f>I66/I74</f>
        <v>4.4247787610619468E-2</v>
      </c>
      <c r="K66" s="334">
        <f>H66*J66</f>
        <v>0.83457656799918634</v>
      </c>
      <c r="L66" s="431"/>
    </row>
    <row r="67" spans="3:16" hidden="1" x14ac:dyDescent="0.25">
      <c r="C67" s="285"/>
      <c r="D67" s="286"/>
      <c r="E67" s="819" t="s">
        <v>215</v>
      </c>
      <c r="F67" s="820"/>
      <c r="G67" s="268">
        <v>0.24690000000000001</v>
      </c>
      <c r="H67" s="27">
        <f>H66*G67</f>
        <v>4.6568871748413798</v>
      </c>
      <c r="I67" s="121"/>
      <c r="J67" s="368">
        <f>J66</f>
        <v>4.4247787610619468E-2</v>
      </c>
      <c r="K67" s="425">
        <f>K66/26</f>
        <v>3.2099098769199474E-2</v>
      </c>
      <c r="L67" s="431"/>
    </row>
    <row r="68" spans="3:16" ht="49.5" hidden="1" customHeight="1" thickBot="1" x14ac:dyDescent="0.3">
      <c r="C68" s="309"/>
      <c r="D68" s="310"/>
      <c r="E68" s="821" t="s">
        <v>164</v>
      </c>
      <c r="F68" s="747"/>
      <c r="G68" s="269">
        <v>3.5000000000000003E-2</v>
      </c>
      <c r="H68" s="188">
        <f>H66*G68</f>
        <v>0.66015006528735642</v>
      </c>
      <c r="I68" s="124"/>
      <c r="J68" s="333"/>
      <c r="K68" s="426"/>
      <c r="L68" s="431"/>
    </row>
    <row r="69" spans="3:16" ht="15.75" hidden="1" thickTop="1" x14ac:dyDescent="0.25">
      <c r="C69" s="309"/>
      <c r="D69" s="310"/>
      <c r="E69" s="331"/>
      <c r="F69" s="332"/>
      <c r="G69" s="301"/>
      <c r="H69" s="121">
        <f>SUM(H66:H68)</f>
        <v>24.178467676910348</v>
      </c>
      <c r="I69" s="302"/>
      <c r="J69" s="334"/>
      <c r="K69" s="427"/>
      <c r="L69" s="431"/>
    </row>
    <row r="70" spans="3:16" ht="15.75" hidden="1" thickBot="1" x14ac:dyDescent="0.3">
      <c r="C70" s="309"/>
      <c r="D70" s="310"/>
      <c r="E70" s="335"/>
      <c r="F70" s="336"/>
      <c r="G70" s="301"/>
      <c r="H70" s="301"/>
      <c r="I70" s="302"/>
      <c r="J70" s="334"/>
      <c r="K70" s="427"/>
      <c r="L70" s="431"/>
    </row>
    <row r="71" spans="3:16" ht="15.75" hidden="1" thickTop="1" x14ac:dyDescent="0.25">
      <c r="C71" s="324"/>
      <c r="D71" s="325"/>
      <c r="E71" s="816" t="s">
        <v>350</v>
      </c>
      <c r="F71" s="817"/>
      <c r="G71" s="283">
        <f>G66</f>
        <v>4137.0867200000012</v>
      </c>
      <c r="H71" s="280">
        <f>G71/I71</f>
        <v>19.021088367816098</v>
      </c>
      <c r="I71" s="284">
        <f>I66</f>
        <v>217.5</v>
      </c>
      <c r="J71" s="326">
        <f>J66</f>
        <v>4.4247787610619468E-2</v>
      </c>
      <c r="K71" s="428">
        <f>K66</f>
        <v>0.83457656799918634</v>
      </c>
      <c r="L71" s="431"/>
    </row>
    <row r="72" spans="3:16" hidden="1" x14ac:dyDescent="0.25">
      <c r="C72" s="850"/>
      <c r="D72" s="851"/>
      <c r="E72" s="852" t="s">
        <v>352</v>
      </c>
      <c r="F72" s="853"/>
      <c r="G72" s="316">
        <f>G56+G71</f>
        <v>15513.998032000001</v>
      </c>
      <c r="H72" s="317">
        <f>G72/I72</f>
        <v>20.979037230561193</v>
      </c>
      <c r="I72" s="318">
        <f>I55+I71</f>
        <v>739.5</v>
      </c>
      <c r="J72" s="319">
        <f>J55+J66</f>
        <v>0.15044247787610621</v>
      </c>
      <c r="K72" s="333">
        <f>K57+K67</f>
        <v>0.12853648486081443</v>
      </c>
      <c r="L72" s="431"/>
      <c r="M72" s="196"/>
    </row>
    <row r="73" spans="3:16" ht="15.75" hidden="1" thickBot="1" x14ac:dyDescent="0.3">
      <c r="C73" s="822"/>
      <c r="D73" s="823"/>
      <c r="E73" s="842"/>
      <c r="F73" s="843"/>
      <c r="G73" s="277"/>
      <c r="H73" s="277"/>
      <c r="I73" s="277"/>
      <c r="J73" s="171"/>
      <c r="K73" s="412"/>
      <c r="L73" s="432"/>
    </row>
    <row r="74" spans="3:16" ht="15.75" hidden="1" thickTop="1" x14ac:dyDescent="0.25">
      <c r="C74" s="803"/>
      <c r="D74" s="824"/>
      <c r="E74" s="231"/>
      <c r="F74" s="229" t="s">
        <v>42</v>
      </c>
      <c r="G74" s="437">
        <f>G71+G61</f>
        <v>72260.544712000017</v>
      </c>
      <c r="H74" s="176">
        <f>G74/I74</f>
        <v>14.700548207099994</v>
      </c>
      <c r="I74" s="247">
        <f>I71+I61</f>
        <v>4915.5</v>
      </c>
      <c r="J74" s="260">
        <f>J61+J71</f>
        <v>0.99999999999999989</v>
      </c>
      <c r="K74" s="429">
        <f>K61+K71+K72</f>
        <v>14.822020181738042</v>
      </c>
      <c r="L74" s="431"/>
    </row>
    <row r="75" spans="3:16" hidden="1" x14ac:dyDescent="0.25">
      <c r="C75" s="803"/>
      <c r="D75" s="824"/>
      <c r="E75" s="231"/>
      <c r="F75" s="229"/>
      <c r="G75" s="175"/>
      <c r="H75" s="176"/>
      <c r="I75" s="177"/>
      <c r="J75" s="165"/>
      <c r="L75" s="4"/>
    </row>
    <row r="76" spans="3:16" hidden="1" x14ac:dyDescent="0.25">
      <c r="C76" s="742"/>
      <c r="D76" s="818"/>
      <c r="E76" s="819" t="s">
        <v>215</v>
      </c>
      <c r="F76" s="820"/>
      <c r="G76" s="268">
        <v>0.24690000000000001</v>
      </c>
      <c r="H76" s="27"/>
      <c r="I76" s="121">
        <f>K74*G76</f>
        <v>3.6595567828711224</v>
      </c>
      <c r="J76" s="123">
        <f>I76+K74</f>
        <v>18.481576964609165</v>
      </c>
      <c r="L76" s="4"/>
    </row>
    <row r="77" spans="3:16" ht="36" hidden="1" customHeight="1" x14ac:dyDescent="0.25">
      <c r="C77" s="742"/>
      <c r="D77" s="818"/>
      <c r="E77" s="821" t="s">
        <v>164</v>
      </c>
      <c r="F77" s="747"/>
      <c r="G77" s="269">
        <v>3.5000000000000003E-2</v>
      </c>
      <c r="H77" s="31"/>
      <c r="I77" s="124">
        <f>J76*G77</f>
        <v>0.64685519376132083</v>
      </c>
      <c r="J77" s="125">
        <f>J76+I77</f>
        <v>19.128432158370487</v>
      </c>
    </row>
    <row r="78" spans="3:16" ht="15.75" hidden="1" thickBot="1" x14ac:dyDescent="0.3">
      <c r="C78" s="775"/>
      <c r="D78" s="825"/>
      <c r="E78" s="826" t="s">
        <v>269</v>
      </c>
      <c r="F78" s="827"/>
      <c r="G78" s="270">
        <v>0.05</v>
      </c>
      <c r="H78" s="126"/>
      <c r="I78" s="127">
        <f>J76*G78</f>
        <v>0.92407884823045827</v>
      </c>
      <c r="J78" s="128">
        <f>J77+I78</f>
        <v>20.052511006600945</v>
      </c>
    </row>
    <row r="79" spans="3:16" ht="15.75" hidden="1" thickBot="1" x14ac:dyDescent="0.3">
      <c r="C79" s="725"/>
      <c r="D79" s="828"/>
      <c r="E79" s="829" t="s">
        <v>220</v>
      </c>
      <c r="F79" s="728"/>
      <c r="G79" s="129"/>
      <c r="H79" s="129"/>
      <c r="I79" s="130"/>
      <c r="J79" s="131">
        <f>J77+I78</f>
        <v>20.052511006600945</v>
      </c>
      <c r="M79"/>
      <c r="O79"/>
      <c r="P79" s="261"/>
    </row>
    <row r="80" spans="3:16" hidden="1" x14ac:dyDescent="0.25"/>
    <row r="81" spans="2:9" ht="15.75" hidden="1" thickBot="1" x14ac:dyDescent="0.3"/>
    <row r="82" spans="2:9" ht="34.5" customHeight="1" thickBot="1" x14ac:dyDescent="0.3">
      <c r="B82" s="663" t="s">
        <v>4</v>
      </c>
      <c r="C82" s="731"/>
      <c r="D82" s="729" t="s">
        <v>76</v>
      </c>
      <c r="E82" s="730"/>
      <c r="F82" s="730"/>
      <c r="G82" s="730"/>
      <c r="H82" s="731"/>
      <c r="I82" s="105"/>
    </row>
    <row r="83" spans="2:9" ht="25.5" customHeight="1" thickBot="1" x14ac:dyDescent="0.3">
      <c r="B83" s="732" t="s">
        <v>37</v>
      </c>
      <c r="C83" s="795"/>
      <c r="D83" s="734" t="s">
        <v>38</v>
      </c>
      <c r="E83" s="802"/>
      <c r="F83" s="106" t="s">
        <v>217</v>
      </c>
      <c r="G83" s="106" t="s">
        <v>214</v>
      </c>
      <c r="H83" s="107" t="s">
        <v>42</v>
      </c>
    </row>
    <row r="84" spans="2:9" ht="25.5" customHeight="1" x14ac:dyDescent="0.25">
      <c r="B84" s="736" t="s">
        <v>19</v>
      </c>
      <c r="C84" s="737"/>
      <c r="D84" s="808" t="s">
        <v>346</v>
      </c>
      <c r="E84" s="809"/>
      <c r="F84" s="108"/>
      <c r="G84" s="108"/>
      <c r="H84" s="109"/>
    </row>
    <row r="85" spans="2:9" ht="15.75" thickBot="1" x14ac:dyDescent="0.3">
      <c r="B85" s="110"/>
      <c r="C85" s="111"/>
      <c r="D85" s="810"/>
      <c r="E85" s="811"/>
      <c r="F85" s="117"/>
      <c r="G85" s="118">
        <f>(H16+H29)/2</f>
        <v>13.273996816091955</v>
      </c>
      <c r="H85" s="119"/>
    </row>
    <row r="86" spans="2:9" ht="15" customHeight="1" thickTop="1" x14ac:dyDescent="0.25">
      <c r="B86" s="803"/>
      <c r="C86" s="804"/>
      <c r="D86" s="812" t="s">
        <v>216</v>
      </c>
      <c r="E86" s="811"/>
      <c r="F86" s="120"/>
      <c r="G86" s="112">
        <f>G85</f>
        <v>13.273996816091955</v>
      </c>
      <c r="H86" s="122"/>
    </row>
    <row r="87" spans="2:9" ht="18.75" customHeight="1" x14ac:dyDescent="0.25">
      <c r="B87" s="110"/>
      <c r="C87" s="111"/>
      <c r="D87" s="762" t="s">
        <v>351</v>
      </c>
      <c r="E87" s="811"/>
      <c r="F87" s="227">
        <v>7.66</v>
      </c>
      <c r="G87" s="112">
        <f>K57+K67</f>
        <v>0.12853648486081443</v>
      </c>
      <c r="H87" s="123">
        <f>G86+G87</f>
        <v>13.40253330095277</v>
      </c>
    </row>
    <row r="88" spans="2:9" ht="36" customHeight="1" x14ac:dyDescent="0.25">
      <c r="B88" s="803"/>
      <c r="C88" s="804"/>
      <c r="D88" s="780" t="s">
        <v>164</v>
      </c>
      <c r="E88" s="813"/>
      <c r="F88" s="269">
        <v>3.5000000000000003E-2</v>
      </c>
      <c r="G88" s="114">
        <f>H87*F88</f>
        <v>0.46908866553334699</v>
      </c>
      <c r="H88" s="125">
        <f>H87+G88</f>
        <v>13.871621966486117</v>
      </c>
    </row>
    <row r="89" spans="2:9" ht="28.5" customHeight="1" x14ac:dyDescent="0.25">
      <c r="B89" s="803"/>
      <c r="C89" s="804"/>
      <c r="D89" s="793" t="s">
        <v>567</v>
      </c>
      <c r="E89" s="779"/>
      <c r="F89" s="268">
        <v>0.24640000000000001</v>
      </c>
      <c r="G89" s="112">
        <f>H88*F89</f>
        <v>3.4179676525421794</v>
      </c>
      <c r="H89" s="123">
        <f>G89+H87+G88</f>
        <v>17.289589619028298</v>
      </c>
    </row>
    <row r="90" spans="2:9" x14ac:dyDescent="0.25">
      <c r="B90" s="803"/>
      <c r="C90" s="804"/>
      <c r="D90" s="830" t="s">
        <v>269</v>
      </c>
      <c r="E90" s="831"/>
      <c r="F90" s="558">
        <v>0.05</v>
      </c>
      <c r="G90" s="114">
        <f>H89*F90</f>
        <v>0.86447948095141491</v>
      </c>
      <c r="H90" s="123"/>
    </row>
    <row r="91" spans="2:9" ht="15.75" thickBot="1" x14ac:dyDescent="0.3">
      <c r="B91" s="555"/>
      <c r="C91" s="556"/>
      <c r="D91" s="751" t="s">
        <v>612</v>
      </c>
      <c r="E91" s="752"/>
      <c r="F91" s="270">
        <v>0.15</v>
      </c>
      <c r="G91" s="137">
        <f>F91*H89</f>
        <v>2.5934384428542447</v>
      </c>
      <c r="H91" s="557"/>
    </row>
    <row r="92" spans="2:9" ht="15.75" thickBot="1" x14ac:dyDescent="0.3">
      <c r="B92" s="725"/>
      <c r="C92" s="726"/>
      <c r="D92" s="727" t="s">
        <v>220</v>
      </c>
      <c r="E92" s="728"/>
      <c r="F92" s="129"/>
      <c r="G92" s="138"/>
      <c r="H92" s="131">
        <f>H89+G90+G91</f>
        <v>20.747507542833958</v>
      </c>
    </row>
    <row r="93" spans="2:9" ht="15.75" thickBot="1" x14ac:dyDescent="0.3">
      <c r="B93" s="880"/>
      <c r="C93" s="880"/>
      <c r="D93" s="880"/>
      <c r="E93" s="880"/>
      <c r="F93" s="880"/>
      <c r="G93" s="880"/>
      <c r="H93" s="880"/>
    </row>
    <row r="94" spans="2:9" ht="34.5" customHeight="1" thickBot="1" x14ac:dyDescent="0.3">
      <c r="B94" s="663" t="s">
        <v>4</v>
      </c>
      <c r="C94" s="731"/>
      <c r="D94" s="729" t="s">
        <v>76</v>
      </c>
      <c r="E94" s="730"/>
      <c r="F94" s="730"/>
      <c r="G94" s="730"/>
      <c r="H94" s="731"/>
      <c r="I94" s="105"/>
    </row>
    <row r="95" spans="2:9" ht="25.5" customHeight="1" thickBot="1" x14ac:dyDescent="0.3">
      <c r="B95" s="732" t="s">
        <v>37</v>
      </c>
      <c r="C95" s="795"/>
      <c r="D95" s="734" t="s">
        <v>38</v>
      </c>
      <c r="E95" s="802"/>
      <c r="F95" s="106" t="s">
        <v>217</v>
      </c>
      <c r="G95" s="106" t="s">
        <v>214</v>
      </c>
      <c r="H95" s="107" t="s">
        <v>42</v>
      </c>
    </row>
    <row r="96" spans="2:9" ht="31.5" customHeight="1" x14ac:dyDescent="0.25">
      <c r="B96" s="837" t="s">
        <v>20</v>
      </c>
      <c r="C96" s="737"/>
      <c r="D96" s="808" t="s">
        <v>357</v>
      </c>
      <c r="E96" s="883"/>
      <c r="F96" s="108"/>
      <c r="G96" s="108"/>
      <c r="H96" s="109"/>
    </row>
    <row r="97" spans="2:9" ht="15.75" thickBot="1" x14ac:dyDescent="0.3">
      <c r="B97" s="110"/>
      <c r="C97" s="111"/>
      <c r="D97" s="810"/>
      <c r="E97" s="811"/>
      <c r="F97" s="117"/>
      <c r="G97" s="189">
        <f>H48</f>
        <v>14.411535816091954</v>
      </c>
      <c r="H97" s="119"/>
    </row>
    <row r="98" spans="2:9" ht="15" customHeight="1" thickTop="1" x14ac:dyDescent="0.25">
      <c r="B98" s="803"/>
      <c r="C98" s="804"/>
      <c r="D98" s="812" t="s">
        <v>216</v>
      </c>
      <c r="E98" s="811"/>
      <c r="F98" s="120"/>
      <c r="G98" s="112">
        <f>G97</f>
        <v>14.411535816091954</v>
      </c>
      <c r="H98" s="122"/>
    </row>
    <row r="99" spans="2:9" ht="18.75" customHeight="1" x14ac:dyDescent="0.25">
      <c r="B99" s="110"/>
      <c r="C99" s="111"/>
      <c r="D99" s="762" t="s">
        <v>351</v>
      </c>
      <c r="E99" s="811"/>
      <c r="F99" s="227">
        <v>7.66</v>
      </c>
      <c r="G99" s="112">
        <f>G98*F99/100</f>
        <v>1.1039236435126436</v>
      </c>
      <c r="H99" s="123">
        <f>G98+G99</f>
        <v>15.515459459604598</v>
      </c>
    </row>
    <row r="100" spans="2:9" ht="36" customHeight="1" x14ac:dyDescent="0.25">
      <c r="B100" s="803"/>
      <c r="C100" s="804"/>
      <c r="D100" s="780" t="s">
        <v>164</v>
      </c>
      <c r="E100" s="813"/>
      <c r="F100" s="269">
        <v>3.5000000000000003E-2</v>
      </c>
      <c r="G100" s="114">
        <f>H99*F100</f>
        <v>0.543041081086161</v>
      </c>
      <c r="H100" s="125">
        <f>H99+G100</f>
        <v>16.058500540690758</v>
      </c>
    </row>
    <row r="101" spans="2:9" ht="30" customHeight="1" x14ac:dyDescent="0.25">
      <c r="B101" s="803"/>
      <c r="C101" s="804"/>
      <c r="D101" s="793" t="s">
        <v>567</v>
      </c>
      <c r="E101" s="779"/>
      <c r="F101" s="268">
        <v>0.24640000000000001</v>
      </c>
      <c r="G101" s="112">
        <f>H100*F101</f>
        <v>3.9568145332262028</v>
      </c>
      <c r="H101" s="123">
        <f>G101+H99+G100</f>
        <v>20.015315073916963</v>
      </c>
    </row>
    <row r="102" spans="2:9" ht="15.75" thickBot="1" x14ac:dyDescent="0.3">
      <c r="B102" s="775"/>
      <c r="C102" s="776"/>
      <c r="D102" s="751" t="s">
        <v>269</v>
      </c>
      <c r="E102" s="827"/>
      <c r="F102" s="270">
        <v>0.05</v>
      </c>
      <c r="G102" s="137">
        <f>H101*F102</f>
        <v>1.0007657536958481</v>
      </c>
      <c r="H102" s="128"/>
    </row>
    <row r="103" spans="2:9" ht="15.75" thickBot="1" x14ac:dyDescent="0.3">
      <c r="B103" s="725"/>
      <c r="C103" s="726"/>
      <c r="D103" s="727" t="s">
        <v>220</v>
      </c>
      <c r="E103" s="728"/>
      <c r="F103" s="129"/>
      <c r="G103" s="138"/>
      <c r="H103" s="131">
        <f>H101+G102</f>
        <v>21.016080827612811</v>
      </c>
    </row>
    <row r="104" spans="2:9" ht="15.75" thickBot="1" x14ac:dyDescent="0.3">
      <c r="B104" s="132"/>
      <c r="C104" s="132"/>
      <c r="D104" s="133"/>
      <c r="E104" s="133"/>
      <c r="F104" s="134"/>
      <c r="G104" s="134"/>
      <c r="H104" s="135"/>
      <c r="I104" s="136"/>
    </row>
    <row r="105" spans="2:9" ht="30" customHeight="1" thickBot="1" x14ac:dyDescent="0.3">
      <c r="B105" s="729" t="s">
        <v>4</v>
      </c>
      <c r="C105" s="731"/>
      <c r="D105" s="729" t="s">
        <v>76</v>
      </c>
      <c r="E105" s="730"/>
      <c r="F105" s="730"/>
      <c r="G105" s="730"/>
      <c r="H105" s="731"/>
      <c r="I105" s="105"/>
    </row>
    <row r="106" spans="2:9" ht="34.5" thickBot="1" x14ac:dyDescent="0.3">
      <c r="B106" s="732" t="s">
        <v>37</v>
      </c>
      <c r="C106" s="795"/>
      <c r="D106" s="734" t="s">
        <v>38</v>
      </c>
      <c r="E106" s="802"/>
      <c r="F106" s="106" t="s">
        <v>217</v>
      </c>
      <c r="G106" s="106" t="s">
        <v>214</v>
      </c>
      <c r="H106" s="107" t="s">
        <v>42</v>
      </c>
    </row>
    <row r="107" spans="2:9" ht="42" customHeight="1" x14ac:dyDescent="0.25">
      <c r="B107" s="837" t="s">
        <v>21</v>
      </c>
      <c r="C107" s="737"/>
      <c r="D107" s="881" t="str">
        <f>CENIK_št_1!B34</f>
        <v>Strokovna dela (nadzor, vodenje, pregledi objektov, izdelava poročil, izvedbeni načrti)</v>
      </c>
      <c r="E107" s="882"/>
      <c r="F107" s="139"/>
      <c r="G107" s="140"/>
      <c r="H107" s="141"/>
    </row>
    <row r="108" spans="2:9" ht="15.75" thickBot="1" x14ac:dyDescent="0.3">
      <c r="B108" s="803"/>
      <c r="C108" s="804"/>
      <c r="D108" s="810"/>
      <c r="E108" s="843"/>
      <c r="F108" s="117"/>
      <c r="G108" s="118">
        <f>H56</f>
        <v>21.794849256704982</v>
      </c>
      <c r="H108" s="119"/>
    </row>
    <row r="109" spans="2:9" x14ac:dyDescent="0.25">
      <c r="B109" s="110"/>
      <c r="C109" s="111"/>
      <c r="D109" s="812" t="s">
        <v>216</v>
      </c>
      <c r="E109" s="811"/>
      <c r="F109" s="120"/>
      <c r="G109" s="112">
        <f>G108</f>
        <v>21.794849256704982</v>
      </c>
      <c r="H109" s="122"/>
    </row>
    <row r="110" spans="2:9" x14ac:dyDescent="0.25">
      <c r="B110" s="742"/>
      <c r="C110" s="743"/>
      <c r="D110" s="762" t="s">
        <v>351</v>
      </c>
      <c r="E110" s="811"/>
      <c r="F110" s="227">
        <v>7.66</v>
      </c>
      <c r="G110" s="112">
        <f>K67</f>
        <v>3.2099098769199474E-2</v>
      </c>
      <c r="H110" s="123">
        <f>G109+G110</f>
        <v>21.82694835547418</v>
      </c>
    </row>
    <row r="111" spans="2:9" ht="38.25" customHeight="1" x14ac:dyDescent="0.25">
      <c r="B111" s="742"/>
      <c r="C111" s="743"/>
      <c r="D111" s="857" t="s">
        <v>164</v>
      </c>
      <c r="E111" s="813"/>
      <c r="F111" s="269">
        <v>3.5000000000000003E-2</v>
      </c>
      <c r="G111" s="114">
        <f>H110*F111</f>
        <v>0.76394319244159636</v>
      </c>
      <c r="H111" s="125">
        <f>H110+G111</f>
        <v>22.590891547915778</v>
      </c>
    </row>
    <row r="112" spans="2:9" ht="25.5" customHeight="1" x14ac:dyDescent="0.25">
      <c r="B112" s="142"/>
      <c r="C112" s="143"/>
      <c r="D112" s="793" t="s">
        <v>567</v>
      </c>
      <c r="E112" s="779"/>
      <c r="F112" s="268">
        <v>0.24640000000000001</v>
      </c>
      <c r="G112" s="112">
        <f>H111*F112</f>
        <v>5.5663956774064474</v>
      </c>
      <c r="H112" s="123">
        <f>G112+H110+G111</f>
        <v>28.157287225322225</v>
      </c>
    </row>
    <row r="113" spans="2:9" ht="15.75" thickBot="1" x14ac:dyDescent="0.3">
      <c r="B113" s="803"/>
      <c r="C113" s="804"/>
      <c r="D113" s="751" t="s">
        <v>345</v>
      </c>
      <c r="E113" s="827"/>
      <c r="F113" s="270">
        <v>0.05</v>
      </c>
      <c r="G113" s="137">
        <f>H112*F113</f>
        <v>1.4078643612661113</v>
      </c>
      <c r="H113" s="128"/>
    </row>
    <row r="114" spans="2:9" ht="15.75" thickBot="1" x14ac:dyDescent="0.3">
      <c r="B114" s="725"/>
      <c r="C114" s="726"/>
      <c r="D114" s="727" t="s">
        <v>220</v>
      </c>
      <c r="E114" s="728"/>
      <c r="F114" s="129"/>
      <c r="G114" s="138"/>
      <c r="H114" s="131">
        <f>H112+G113</f>
        <v>29.565151586588335</v>
      </c>
    </row>
    <row r="115" spans="2:9" x14ac:dyDescent="0.25">
      <c r="B115" s="132"/>
      <c r="C115" s="132"/>
      <c r="D115" s="133"/>
      <c r="E115" s="133"/>
      <c r="F115" s="134"/>
      <c r="G115" s="135"/>
      <c r="H115" s="136"/>
      <c r="I115" s="186"/>
    </row>
    <row r="116" spans="2:9" ht="15.75" thickBot="1" x14ac:dyDescent="0.3"/>
    <row r="117" spans="2:9" ht="15.75" thickBot="1" x14ac:dyDescent="0.3">
      <c r="B117" s="663" t="s">
        <v>5</v>
      </c>
      <c r="C117" s="731"/>
      <c r="D117" s="729" t="s">
        <v>76</v>
      </c>
      <c r="E117" s="730"/>
      <c r="F117" s="730"/>
      <c r="G117" s="730"/>
      <c r="H117" s="731"/>
      <c r="I117" s="105"/>
    </row>
    <row r="118" spans="2:9" ht="34.5" thickBot="1" x14ac:dyDescent="0.3">
      <c r="B118" s="732" t="s">
        <v>37</v>
      </c>
      <c r="C118" s="795"/>
      <c r="D118" s="734" t="s">
        <v>38</v>
      </c>
      <c r="E118" s="802"/>
      <c r="F118" s="106" t="s">
        <v>217</v>
      </c>
      <c r="G118" s="106" t="s">
        <v>214</v>
      </c>
      <c r="H118" s="107" t="s">
        <v>42</v>
      </c>
    </row>
    <row r="119" spans="2:9" x14ac:dyDescent="0.25">
      <c r="B119" s="837" t="s">
        <v>125</v>
      </c>
      <c r="C119" s="737"/>
      <c r="D119" s="838" t="s">
        <v>166</v>
      </c>
      <c r="E119" s="809"/>
      <c r="F119" s="139"/>
      <c r="G119" s="140"/>
      <c r="H119" s="141"/>
    </row>
    <row r="120" spans="2:9" ht="15.75" thickBot="1" x14ac:dyDescent="0.3">
      <c r="B120" s="803"/>
      <c r="C120" s="804"/>
      <c r="D120" s="758"/>
      <c r="E120" s="843"/>
      <c r="F120" s="327">
        <v>0.15</v>
      </c>
      <c r="G120" s="118">
        <f>K61</f>
        <v>13.858907128878041</v>
      </c>
      <c r="H120" s="119">
        <f>F120*G120</f>
        <v>2.0788360693317061</v>
      </c>
    </row>
    <row r="121" spans="2:9" ht="16.5" thickTop="1" thickBot="1" x14ac:dyDescent="0.3">
      <c r="B121" s="110"/>
      <c r="C121" s="111"/>
      <c r="D121" s="812" t="s">
        <v>216</v>
      </c>
      <c r="E121" s="811"/>
      <c r="F121" s="27"/>
      <c r="G121" s="112">
        <f>G120</f>
        <v>13.858907128878041</v>
      </c>
      <c r="H121" s="122"/>
    </row>
    <row r="122" spans="2:9" ht="15.75" thickBot="1" x14ac:dyDescent="0.3">
      <c r="B122" s="725"/>
      <c r="C122" s="726"/>
      <c r="D122" s="727" t="s">
        <v>219</v>
      </c>
      <c r="E122" s="728"/>
      <c r="F122" s="129"/>
      <c r="G122" s="138"/>
      <c r="H122" s="131">
        <f>H120</f>
        <v>2.0788360693317061</v>
      </c>
    </row>
    <row r="123" spans="2:9" ht="15.75" thickBot="1" x14ac:dyDescent="0.3">
      <c r="B123" s="144"/>
      <c r="C123" s="144"/>
      <c r="D123" s="144"/>
      <c r="E123" s="144"/>
      <c r="F123" s="144"/>
      <c r="G123" s="144"/>
      <c r="H123" s="144"/>
      <c r="I123" s="144"/>
    </row>
    <row r="124" spans="2:9" ht="16.5" thickTop="1" thickBot="1" x14ac:dyDescent="0.3"/>
    <row r="125" spans="2:9" ht="15.75" thickBot="1" x14ac:dyDescent="0.3">
      <c r="B125" s="145" t="s">
        <v>6</v>
      </c>
      <c r="C125" s="877" t="s">
        <v>3</v>
      </c>
      <c r="D125" s="878"/>
      <c r="E125" s="878"/>
      <c r="F125" s="878"/>
      <c r="G125" s="878"/>
      <c r="H125" s="878"/>
      <c r="I125" s="879"/>
    </row>
    <row r="126" spans="2:9" ht="23.25" thickBot="1" x14ac:dyDescent="0.3">
      <c r="B126" s="732" t="s">
        <v>37</v>
      </c>
      <c r="C126" s="733"/>
      <c r="D126" s="734" t="s">
        <v>38</v>
      </c>
      <c r="E126" s="735"/>
      <c r="F126" s="146" t="s">
        <v>39</v>
      </c>
      <c r="G126" s="106" t="s">
        <v>40</v>
      </c>
      <c r="H126" s="106" t="s">
        <v>41</v>
      </c>
      <c r="I126" s="107" t="s">
        <v>42</v>
      </c>
    </row>
    <row r="127" spans="2:9" x14ac:dyDescent="0.25">
      <c r="B127" s="837" t="s">
        <v>27</v>
      </c>
      <c r="C127" s="737"/>
      <c r="D127" s="738" t="s">
        <v>12</v>
      </c>
      <c r="E127" s="739"/>
      <c r="F127" s="147">
        <v>18000</v>
      </c>
      <c r="G127" s="148"/>
      <c r="H127" s="148"/>
      <c r="I127" s="149"/>
    </row>
    <row r="128" spans="2:9" ht="15" customHeight="1" x14ac:dyDescent="0.25">
      <c r="B128" s="110"/>
      <c r="C128" s="111"/>
      <c r="D128" s="740" t="s">
        <v>223</v>
      </c>
      <c r="E128" s="741"/>
      <c r="F128" s="150">
        <v>96</v>
      </c>
      <c r="G128" s="151"/>
      <c r="H128" s="151"/>
      <c r="I128" s="152"/>
    </row>
    <row r="129" spans="2:9" x14ac:dyDescent="0.25">
      <c r="B129" s="110"/>
      <c r="C129" s="111"/>
      <c r="D129" s="740" t="s">
        <v>222</v>
      </c>
      <c r="E129" s="741"/>
      <c r="F129" s="150">
        <v>100</v>
      </c>
      <c r="G129" s="151"/>
      <c r="H129" s="151"/>
      <c r="I129" s="152"/>
    </row>
    <row r="130" spans="2:9" x14ac:dyDescent="0.25">
      <c r="B130" s="742"/>
      <c r="C130" s="743"/>
      <c r="D130" s="744" t="s">
        <v>218</v>
      </c>
      <c r="E130" s="745"/>
      <c r="F130" s="153"/>
      <c r="G130" s="120"/>
      <c r="H130" s="112">
        <f>H43</f>
        <v>18.077615849828966</v>
      </c>
      <c r="I130" s="113">
        <f>F129*H130</f>
        <v>1807.7615849828967</v>
      </c>
    </row>
    <row r="131" spans="2:9" ht="25.5" customHeight="1" x14ac:dyDescent="0.25">
      <c r="B131" s="742"/>
      <c r="C131" s="743"/>
      <c r="D131" s="746" t="s">
        <v>176</v>
      </c>
      <c r="E131" s="747"/>
      <c r="F131" s="154"/>
      <c r="G131" s="120"/>
      <c r="H131" s="112">
        <f>1500/12/F129</f>
        <v>1.25</v>
      </c>
      <c r="I131" s="113">
        <f>F129*H131</f>
        <v>125</v>
      </c>
    </row>
    <row r="132" spans="2:9" ht="16.5" customHeight="1" x14ac:dyDescent="0.25">
      <c r="B132" s="742"/>
      <c r="C132" s="743"/>
      <c r="D132" s="748" t="s">
        <v>391</v>
      </c>
      <c r="E132" s="747"/>
      <c r="F132" s="154"/>
      <c r="G132" s="120">
        <f>35/100*8</f>
        <v>2.8</v>
      </c>
      <c r="H132" s="112">
        <v>1.8</v>
      </c>
      <c r="I132" s="122">
        <f>F129*G132*H132</f>
        <v>504</v>
      </c>
    </row>
    <row r="133" spans="2:9" ht="15.75" thickBot="1" x14ac:dyDescent="0.3">
      <c r="B133" s="742"/>
      <c r="C133" s="743"/>
      <c r="D133" s="744" t="s">
        <v>174</v>
      </c>
      <c r="E133" s="745"/>
      <c r="F133" s="155"/>
      <c r="G133" s="120"/>
      <c r="H133" s="120"/>
      <c r="I133" s="119">
        <f>F127/F128</f>
        <v>187.5</v>
      </c>
    </row>
    <row r="134" spans="2:9" ht="15.75" thickTop="1" x14ac:dyDescent="0.25">
      <c r="B134" s="742"/>
      <c r="C134" s="743"/>
      <c r="D134" s="749" t="s">
        <v>167</v>
      </c>
      <c r="E134" s="750"/>
      <c r="F134" s="154"/>
      <c r="G134" s="120"/>
      <c r="H134" s="120"/>
      <c r="I134" s="156">
        <f>SUM(I130:I133)</f>
        <v>2624.2615849828967</v>
      </c>
    </row>
    <row r="135" spans="2:9" ht="15.75" thickBot="1" x14ac:dyDescent="0.3">
      <c r="B135" s="721"/>
      <c r="C135" s="722"/>
      <c r="D135" s="723" t="s">
        <v>221</v>
      </c>
      <c r="E135" s="724"/>
      <c r="F135" s="157"/>
      <c r="G135" s="158"/>
      <c r="H135" s="159"/>
      <c r="I135" s="115">
        <f>(I134/F129)*0.05</f>
        <v>1.3121307924914483</v>
      </c>
    </row>
    <row r="136" spans="2:9" ht="24.75" customHeight="1" thickBot="1" x14ac:dyDescent="0.3">
      <c r="B136" s="725"/>
      <c r="C136" s="726"/>
      <c r="D136" s="727" t="s">
        <v>41</v>
      </c>
      <c r="E136" s="728"/>
      <c r="F136" s="160"/>
      <c r="G136" s="54" t="s">
        <v>403</v>
      </c>
      <c r="H136" s="161"/>
      <c r="I136" s="131">
        <f>(I134/F129)+I135</f>
        <v>27.554746642320413</v>
      </c>
    </row>
    <row r="137" spans="2:9" ht="15.75" thickBot="1" x14ac:dyDescent="0.3">
      <c r="B137" s="354"/>
      <c r="C137" s="354"/>
      <c r="D137" s="754" t="s">
        <v>404</v>
      </c>
      <c r="E137" s="728"/>
      <c r="F137" s="355"/>
      <c r="G137" s="383">
        <v>40</v>
      </c>
      <c r="H137" s="356"/>
      <c r="I137" s="131">
        <f>I136/G137</f>
        <v>0.68886866605801034</v>
      </c>
    </row>
    <row r="138" spans="2:9" ht="15.75" thickBot="1" x14ac:dyDescent="0.3">
      <c r="B138" s="132"/>
      <c r="C138" s="132"/>
      <c r="D138" s="133"/>
      <c r="E138" s="133"/>
      <c r="F138" s="162"/>
      <c r="G138" s="134"/>
      <c r="H138" s="134"/>
      <c r="I138" s="136"/>
    </row>
    <row r="139" spans="2:9" ht="15.75" thickBot="1" x14ac:dyDescent="0.3">
      <c r="B139" s="145" t="s">
        <v>6</v>
      </c>
      <c r="C139" s="729" t="s">
        <v>3</v>
      </c>
      <c r="D139" s="730"/>
      <c r="E139" s="730"/>
      <c r="F139" s="730"/>
      <c r="G139" s="730"/>
      <c r="H139" s="730"/>
      <c r="I139" s="731"/>
    </row>
    <row r="140" spans="2:9" ht="23.25" thickBot="1" x14ac:dyDescent="0.3">
      <c r="B140" s="732" t="s">
        <v>37</v>
      </c>
      <c r="C140" s="795"/>
      <c r="D140" s="734" t="s">
        <v>38</v>
      </c>
      <c r="E140" s="802"/>
      <c r="F140" s="146" t="s">
        <v>39</v>
      </c>
      <c r="G140" s="106" t="s">
        <v>40</v>
      </c>
      <c r="H140" s="106" t="s">
        <v>41</v>
      </c>
      <c r="I140" s="107" t="s">
        <v>42</v>
      </c>
    </row>
    <row r="141" spans="2:9" ht="20.25" customHeight="1" x14ac:dyDescent="0.25">
      <c r="B141" s="837" t="s">
        <v>28</v>
      </c>
      <c r="C141" s="737"/>
      <c r="D141" s="738" t="str">
        <f>CENIK_št_1!B53</f>
        <v>Pregledniško vozilo s preglednikom</v>
      </c>
      <c r="E141" s="739"/>
      <c r="F141" s="147">
        <v>35000</v>
      </c>
      <c r="G141" s="148"/>
      <c r="H141" s="148"/>
      <c r="I141" s="149"/>
    </row>
    <row r="142" spans="2:9" ht="15" customHeight="1" x14ac:dyDescent="0.25">
      <c r="B142" s="110"/>
      <c r="C142" s="111"/>
      <c r="D142" s="740" t="s">
        <v>223</v>
      </c>
      <c r="E142" s="779"/>
      <c r="F142" s="150">
        <v>96</v>
      </c>
      <c r="G142" s="151"/>
      <c r="H142" s="151"/>
      <c r="I142" s="152"/>
    </row>
    <row r="143" spans="2:9" x14ac:dyDescent="0.25">
      <c r="B143" s="110"/>
      <c r="C143" s="111"/>
      <c r="D143" s="740" t="s">
        <v>222</v>
      </c>
      <c r="E143" s="779"/>
      <c r="F143" s="150">
        <v>100</v>
      </c>
      <c r="G143" s="151"/>
      <c r="H143" s="151"/>
      <c r="I143" s="152"/>
    </row>
    <row r="144" spans="2:9" x14ac:dyDescent="0.25">
      <c r="B144" s="803"/>
      <c r="C144" s="804"/>
      <c r="D144" s="810" t="s">
        <v>218</v>
      </c>
      <c r="E144" s="843"/>
      <c r="F144" s="153"/>
      <c r="G144" s="120"/>
      <c r="H144" s="112">
        <f>G108</f>
        <v>21.794849256704982</v>
      </c>
      <c r="I144" s="113">
        <f>F143*H144</f>
        <v>2179.4849256704983</v>
      </c>
    </row>
    <row r="145" spans="2:9" ht="24.75" customHeight="1" x14ac:dyDescent="0.25">
      <c r="B145" s="803"/>
      <c r="C145" s="804"/>
      <c r="D145" s="857" t="s">
        <v>176</v>
      </c>
      <c r="E145" s="813"/>
      <c r="F145" s="154"/>
      <c r="G145" s="120"/>
      <c r="H145" s="112">
        <v>2.92</v>
      </c>
      <c r="I145" s="113">
        <f>F143*H145</f>
        <v>292</v>
      </c>
    </row>
    <row r="146" spans="2:9" ht="24.75" customHeight="1" x14ac:dyDescent="0.25">
      <c r="B146" s="803"/>
      <c r="C146" s="804"/>
      <c r="D146" s="780" t="s">
        <v>391</v>
      </c>
      <c r="E146" s="813"/>
      <c r="F146" s="154"/>
      <c r="G146" s="120">
        <f>35/100*12</f>
        <v>4.1999999999999993</v>
      </c>
      <c r="H146" s="112">
        <v>1.1890000000000001</v>
      </c>
      <c r="I146" s="122">
        <f>F143*G146*H146</f>
        <v>499.37999999999994</v>
      </c>
    </row>
    <row r="147" spans="2:9" ht="15.75" thickBot="1" x14ac:dyDescent="0.3">
      <c r="B147" s="803"/>
      <c r="C147" s="804"/>
      <c r="D147" s="810" t="s">
        <v>174</v>
      </c>
      <c r="E147" s="843"/>
      <c r="F147" s="155"/>
      <c r="G147" s="120"/>
      <c r="H147" s="120"/>
      <c r="I147" s="119">
        <f>F141/F142</f>
        <v>364.58333333333331</v>
      </c>
    </row>
    <row r="148" spans="2:9" ht="15.75" thickTop="1" x14ac:dyDescent="0.25">
      <c r="B148" s="803"/>
      <c r="C148" s="804"/>
      <c r="D148" s="812" t="s">
        <v>167</v>
      </c>
      <c r="E148" s="811"/>
      <c r="F148" s="154"/>
      <c r="G148" s="120"/>
      <c r="H148" s="120"/>
      <c r="I148" s="156">
        <f>SUM(I144:I147)</f>
        <v>3335.4482590038319</v>
      </c>
    </row>
    <row r="149" spans="2:9" ht="15.75" thickBot="1" x14ac:dyDescent="0.3">
      <c r="B149" s="775"/>
      <c r="C149" s="776"/>
      <c r="D149" s="777" t="s">
        <v>221</v>
      </c>
      <c r="E149" s="778"/>
      <c r="F149" s="157"/>
      <c r="G149" s="158"/>
      <c r="H149" s="159"/>
      <c r="I149" s="115">
        <f>(I148/F143)*0.05</f>
        <v>1.6677241295019158</v>
      </c>
    </row>
    <row r="150" spans="2:9" ht="23.25" thickBot="1" x14ac:dyDescent="0.3">
      <c r="B150" s="725"/>
      <c r="C150" s="726"/>
      <c r="D150" s="727" t="s">
        <v>41</v>
      </c>
      <c r="E150" s="728"/>
      <c r="F150" s="160"/>
      <c r="G150" s="54" t="s">
        <v>403</v>
      </c>
      <c r="H150" s="161"/>
      <c r="I150" s="131">
        <f>(I148/F143)+I149</f>
        <v>35.022206719540229</v>
      </c>
    </row>
    <row r="151" spans="2:9" ht="15.75" thickBot="1" x14ac:dyDescent="0.3">
      <c r="B151" s="354"/>
      <c r="C151" s="354"/>
      <c r="D151" s="754" t="s">
        <v>404</v>
      </c>
      <c r="E151" s="728"/>
      <c r="F151" s="355"/>
      <c r="G151" s="383">
        <v>40</v>
      </c>
      <c r="H151" s="356"/>
      <c r="I151" s="131">
        <f>I150/G151</f>
        <v>0.87555516798850574</v>
      </c>
    </row>
    <row r="152" spans="2:9" ht="15.75" thickBot="1" x14ac:dyDescent="0.3"/>
    <row r="153" spans="2:9" ht="15.75" thickBot="1" x14ac:dyDescent="0.3">
      <c r="B153" s="145" t="s">
        <v>6</v>
      </c>
      <c r="C153" s="729" t="s">
        <v>3</v>
      </c>
      <c r="D153" s="730"/>
      <c r="E153" s="730"/>
      <c r="F153" s="730"/>
      <c r="G153" s="730"/>
      <c r="H153" s="730"/>
      <c r="I153" s="731"/>
    </row>
    <row r="154" spans="2:9" ht="23.25" thickBot="1" x14ac:dyDescent="0.3">
      <c r="B154" s="732" t="s">
        <v>37</v>
      </c>
      <c r="C154" s="733"/>
      <c r="D154" s="734" t="s">
        <v>38</v>
      </c>
      <c r="E154" s="735"/>
      <c r="F154" s="146" t="s">
        <v>39</v>
      </c>
      <c r="G154" s="106" t="s">
        <v>40</v>
      </c>
      <c r="H154" s="106" t="s">
        <v>41</v>
      </c>
      <c r="I154" s="107" t="s">
        <v>42</v>
      </c>
    </row>
    <row r="155" spans="2:9" x14ac:dyDescent="0.25">
      <c r="B155" s="837" t="s">
        <v>29</v>
      </c>
      <c r="C155" s="737"/>
      <c r="D155" s="738" t="str">
        <f>CENIK_št_1!B54</f>
        <v>Tovorno vozilo do 3,5 t sdm</v>
      </c>
      <c r="E155" s="739"/>
      <c r="F155" s="147">
        <v>35000</v>
      </c>
      <c r="G155" s="148"/>
      <c r="H155" s="148"/>
      <c r="I155" s="149"/>
    </row>
    <row r="156" spans="2:9" ht="15" customHeight="1" x14ac:dyDescent="0.25">
      <c r="B156" s="110"/>
      <c r="C156" s="111"/>
      <c r="D156" s="740" t="s">
        <v>223</v>
      </c>
      <c r="E156" s="741"/>
      <c r="F156" s="150">
        <v>96</v>
      </c>
      <c r="G156" s="151"/>
      <c r="H156" s="151"/>
      <c r="I156" s="152"/>
    </row>
    <row r="157" spans="2:9" x14ac:dyDescent="0.25">
      <c r="B157" s="110"/>
      <c r="C157" s="111"/>
      <c r="D157" s="740" t="s">
        <v>222</v>
      </c>
      <c r="E157" s="741"/>
      <c r="F157" s="150">
        <v>100</v>
      </c>
      <c r="G157" s="151"/>
      <c r="H157" s="151"/>
      <c r="I157" s="152"/>
    </row>
    <row r="158" spans="2:9" x14ac:dyDescent="0.25">
      <c r="B158" s="742"/>
      <c r="C158" s="743"/>
      <c r="D158" s="744" t="s">
        <v>218</v>
      </c>
      <c r="E158" s="745"/>
      <c r="F158" s="153"/>
      <c r="G158" s="120"/>
      <c r="H158" s="112">
        <f>H43</f>
        <v>18.077615849828966</v>
      </c>
      <c r="I158" s="113">
        <f>F157*H158</f>
        <v>1807.7615849828967</v>
      </c>
    </row>
    <row r="159" spans="2:9" ht="36" customHeight="1" x14ac:dyDescent="0.25">
      <c r="B159" s="742"/>
      <c r="C159" s="743"/>
      <c r="D159" s="746" t="s">
        <v>176</v>
      </c>
      <c r="E159" s="747"/>
      <c r="F159" s="154"/>
      <c r="G159" s="120"/>
      <c r="H159" s="112">
        <f>3500/12/F157</f>
        <v>2.916666666666667</v>
      </c>
      <c r="I159" s="113">
        <f>F157*H159</f>
        <v>291.66666666666669</v>
      </c>
    </row>
    <row r="160" spans="2:9" ht="24.75" customHeight="1" x14ac:dyDescent="0.25">
      <c r="B160" s="742"/>
      <c r="C160" s="743"/>
      <c r="D160" s="748" t="s">
        <v>391</v>
      </c>
      <c r="E160" s="747"/>
      <c r="F160" s="154"/>
      <c r="G160" s="120">
        <f>35/100*12</f>
        <v>4.1999999999999993</v>
      </c>
      <c r="H160" s="112">
        <v>1.8</v>
      </c>
      <c r="I160" s="122">
        <f>F157*G160*H160</f>
        <v>755.99999999999989</v>
      </c>
    </row>
    <row r="161" spans="2:9" ht="15.75" thickBot="1" x14ac:dyDescent="0.3">
      <c r="B161" s="742"/>
      <c r="C161" s="743"/>
      <c r="D161" s="744" t="s">
        <v>174</v>
      </c>
      <c r="E161" s="745"/>
      <c r="F161" s="155"/>
      <c r="G161" s="120"/>
      <c r="H161" s="120"/>
      <c r="I161" s="119">
        <f>F155/F156</f>
        <v>364.58333333333331</v>
      </c>
    </row>
    <row r="162" spans="2:9" ht="15.75" thickTop="1" x14ac:dyDescent="0.25">
      <c r="B162" s="742"/>
      <c r="C162" s="743"/>
      <c r="D162" s="749" t="s">
        <v>167</v>
      </c>
      <c r="E162" s="750"/>
      <c r="F162" s="154"/>
      <c r="G162" s="120"/>
      <c r="H162" s="120"/>
      <c r="I162" s="156">
        <f>SUM(I158:I161)</f>
        <v>3220.0115849828967</v>
      </c>
    </row>
    <row r="163" spans="2:9" ht="15.75" thickBot="1" x14ac:dyDescent="0.3">
      <c r="B163" s="721"/>
      <c r="C163" s="722"/>
      <c r="D163" s="723" t="s">
        <v>221</v>
      </c>
      <c r="E163" s="724"/>
      <c r="F163" s="157"/>
      <c r="G163" s="158"/>
      <c r="H163" s="159"/>
      <c r="I163" s="115">
        <f>(I162/F157)*0.05</f>
        <v>1.6100057924914486</v>
      </c>
    </row>
    <row r="164" spans="2:9" ht="23.25" thickBot="1" x14ac:dyDescent="0.3">
      <c r="B164" s="725"/>
      <c r="C164" s="726"/>
      <c r="D164" s="727" t="s">
        <v>41</v>
      </c>
      <c r="E164" s="728"/>
      <c r="F164" s="160"/>
      <c r="G164" s="54" t="s">
        <v>403</v>
      </c>
      <c r="H164" s="161"/>
      <c r="I164" s="131">
        <f>(I162/F157)+I163</f>
        <v>33.810121642320418</v>
      </c>
    </row>
    <row r="165" spans="2:9" ht="15.75" thickBot="1" x14ac:dyDescent="0.3">
      <c r="B165" s="354"/>
      <c r="C165" s="354"/>
      <c r="D165" s="754" t="s">
        <v>404</v>
      </c>
      <c r="E165" s="728"/>
      <c r="F165" s="355"/>
      <c r="G165" s="383">
        <v>40</v>
      </c>
      <c r="H165" s="356"/>
      <c r="I165" s="131">
        <f>I164/G165</f>
        <v>0.84525304105801047</v>
      </c>
    </row>
    <row r="166" spans="2:9" ht="15.75" thickBot="1" x14ac:dyDescent="0.3">
      <c r="B166" s="132"/>
      <c r="C166" s="132"/>
      <c r="D166" s="133"/>
      <c r="E166" s="133"/>
      <c r="F166" s="162"/>
      <c r="G166" s="134"/>
      <c r="H166" s="134"/>
      <c r="I166" s="136"/>
    </row>
    <row r="167" spans="2:9" ht="15.75" thickBot="1" x14ac:dyDescent="0.3">
      <c r="B167" s="145" t="s">
        <v>6</v>
      </c>
      <c r="C167" s="729" t="s">
        <v>3</v>
      </c>
      <c r="D167" s="730"/>
      <c r="E167" s="730"/>
      <c r="F167" s="730"/>
      <c r="G167" s="730"/>
      <c r="H167" s="730"/>
      <c r="I167" s="731"/>
    </row>
    <row r="168" spans="2:9" ht="23.25" thickBot="1" x14ac:dyDescent="0.3">
      <c r="B168" s="732" t="s">
        <v>37</v>
      </c>
      <c r="C168" s="733"/>
      <c r="D168" s="734" t="s">
        <v>38</v>
      </c>
      <c r="E168" s="735"/>
      <c r="F168" s="146" t="s">
        <v>39</v>
      </c>
      <c r="G168" s="106" t="s">
        <v>40</v>
      </c>
      <c r="H168" s="106" t="s">
        <v>41</v>
      </c>
      <c r="I168" s="107" t="s">
        <v>42</v>
      </c>
    </row>
    <row r="169" spans="2:9" x14ac:dyDescent="0.25">
      <c r="B169" s="736" t="s">
        <v>30</v>
      </c>
      <c r="C169" s="737"/>
      <c r="D169" s="738" t="str">
        <f>CENIK_št_1!B55</f>
        <v>Tovorno vozilo do 15 t sdm</v>
      </c>
      <c r="E169" s="739"/>
      <c r="F169" s="147">
        <v>125000</v>
      </c>
      <c r="G169" s="148"/>
      <c r="H169" s="148"/>
      <c r="I169" s="149"/>
    </row>
    <row r="170" spans="2:9" ht="15" customHeight="1" x14ac:dyDescent="0.25">
      <c r="B170" s="110"/>
      <c r="C170" s="111"/>
      <c r="D170" s="740" t="s">
        <v>223</v>
      </c>
      <c r="E170" s="741"/>
      <c r="F170" s="150">
        <v>96</v>
      </c>
      <c r="G170" s="151"/>
      <c r="H170" s="151"/>
      <c r="I170" s="152"/>
    </row>
    <row r="171" spans="2:9" x14ac:dyDescent="0.25">
      <c r="B171" s="110"/>
      <c r="C171" s="111"/>
      <c r="D171" s="740" t="s">
        <v>222</v>
      </c>
      <c r="E171" s="741"/>
      <c r="F171" s="150">
        <v>125</v>
      </c>
      <c r="G171" s="151"/>
      <c r="H171" s="151"/>
      <c r="I171" s="152"/>
    </row>
    <row r="172" spans="2:9" x14ac:dyDescent="0.25">
      <c r="B172" s="742"/>
      <c r="C172" s="743"/>
      <c r="D172" s="744" t="s">
        <v>218</v>
      </c>
      <c r="E172" s="745"/>
      <c r="F172" s="153"/>
      <c r="G172" s="120"/>
      <c r="H172" s="112">
        <f>H43</f>
        <v>18.077615849828966</v>
      </c>
      <c r="I172" s="113">
        <f>F171*H172</f>
        <v>2259.7019812286208</v>
      </c>
    </row>
    <row r="173" spans="2:9" ht="22.5" customHeight="1" x14ac:dyDescent="0.25">
      <c r="B173" s="742"/>
      <c r="C173" s="743"/>
      <c r="D173" s="746" t="s">
        <v>176</v>
      </c>
      <c r="E173" s="747"/>
      <c r="F173" s="154"/>
      <c r="G173" s="120"/>
      <c r="H173" s="112">
        <f>5000/12/F171</f>
        <v>3.3333333333333335</v>
      </c>
      <c r="I173" s="113">
        <f>F171*H173</f>
        <v>416.66666666666669</v>
      </c>
    </row>
    <row r="174" spans="2:9" ht="24.75" customHeight="1" x14ac:dyDescent="0.25">
      <c r="B174" s="742"/>
      <c r="C174" s="743"/>
      <c r="D174" s="748" t="s">
        <v>391</v>
      </c>
      <c r="E174" s="747"/>
      <c r="F174" s="154"/>
      <c r="G174" s="120">
        <f>35/100*30</f>
        <v>10.5</v>
      </c>
      <c r="H174" s="112">
        <v>1.1890000000000001</v>
      </c>
      <c r="I174" s="122">
        <f>F171*G174*H174</f>
        <v>1560.5625</v>
      </c>
    </row>
    <row r="175" spans="2:9" ht="15.75" thickBot="1" x14ac:dyDescent="0.3">
      <c r="B175" s="742"/>
      <c r="C175" s="743"/>
      <c r="D175" s="744" t="s">
        <v>174</v>
      </c>
      <c r="E175" s="745"/>
      <c r="F175" s="155"/>
      <c r="G175" s="120"/>
      <c r="H175" s="120"/>
      <c r="I175" s="119">
        <f>F169/F170</f>
        <v>1302.0833333333333</v>
      </c>
    </row>
    <row r="176" spans="2:9" ht="15.75" thickTop="1" x14ac:dyDescent="0.25">
      <c r="B176" s="742"/>
      <c r="C176" s="743"/>
      <c r="D176" s="749" t="s">
        <v>167</v>
      </c>
      <c r="E176" s="750"/>
      <c r="F176" s="154"/>
      <c r="G176" s="120"/>
      <c r="H176" s="120"/>
      <c r="I176" s="156">
        <f>SUM(I172:I175)</f>
        <v>5539.0144812286208</v>
      </c>
    </row>
    <row r="177" spans="2:9" ht="15.75" thickBot="1" x14ac:dyDescent="0.3">
      <c r="B177" s="721"/>
      <c r="C177" s="722"/>
      <c r="D177" s="723" t="s">
        <v>221</v>
      </c>
      <c r="E177" s="724"/>
      <c r="F177" s="157"/>
      <c r="G177" s="158"/>
      <c r="H177" s="159"/>
      <c r="I177" s="115">
        <f>(I176/F171)*0.05</f>
        <v>2.2156057924914481</v>
      </c>
    </row>
    <row r="178" spans="2:9" ht="23.25" thickBot="1" x14ac:dyDescent="0.3">
      <c r="B178" s="725"/>
      <c r="C178" s="726"/>
      <c r="D178" s="727" t="s">
        <v>41</v>
      </c>
      <c r="E178" s="728"/>
      <c r="F178" s="160"/>
      <c r="G178" s="54" t="s">
        <v>403</v>
      </c>
      <c r="H178" s="161"/>
      <c r="I178" s="131">
        <f>(I176/F171)+I177</f>
        <v>46.527721642320408</v>
      </c>
    </row>
    <row r="179" spans="2:9" ht="15.75" thickBot="1" x14ac:dyDescent="0.3">
      <c r="B179" s="354"/>
      <c r="C179" s="354"/>
      <c r="D179" s="754" t="s">
        <v>404</v>
      </c>
      <c r="E179" s="728"/>
      <c r="F179" s="355"/>
      <c r="G179" s="383">
        <v>30</v>
      </c>
      <c r="H179" s="356"/>
      <c r="I179" s="131">
        <f>I178/G179</f>
        <v>1.5509240547440135</v>
      </c>
    </row>
    <row r="180" spans="2:9" ht="15.75" thickBot="1" x14ac:dyDescent="0.3">
      <c r="B180" s="132"/>
      <c r="C180" s="132"/>
      <c r="D180" s="200"/>
      <c r="E180" s="133"/>
      <c r="F180" s="162"/>
      <c r="G180" s="453"/>
      <c r="H180" s="134"/>
      <c r="I180" s="136"/>
    </row>
    <row r="181" spans="2:9" ht="15.75" thickBot="1" x14ac:dyDescent="0.3">
      <c r="B181" s="145" t="s">
        <v>6</v>
      </c>
      <c r="C181" s="729" t="s">
        <v>3</v>
      </c>
      <c r="D181" s="730"/>
      <c r="E181" s="730"/>
      <c r="F181" s="730"/>
      <c r="G181" s="730"/>
      <c r="H181" s="730"/>
      <c r="I181" s="731"/>
    </row>
    <row r="182" spans="2:9" ht="23.25" thickBot="1" x14ac:dyDescent="0.3">
      <c r="B182" s="732" t="s">
        <v>37</v>
      </c>
      <c r="C182" s="733"/>
      <c r="D182" s="734" t="s">
        <v>38</v>
      </c>
      <c r="E182" s="735"/>
      <c r="F182" s="146" t="s">
        <v>39</v>
      </c>
      <c r="G182" s="106" t="s">
        <v>40</v>
      </c>
      <c r="H182" s="106" t="s">
        <v>41</v>
      </c>
      <c r="I182" s="107" t="s">
        <v>42</v>
      </c>
    </row>
    <row r="183" spans="2:9" ht="15" customHeight="1" x14ac:dyDescent="0.25">
      <c r="B183" s="736" t="s">
        <v>31</v>
      </c>
      <c r="C183" s="737"/>
      <c r="D183" s="738" t="str">
        <f>CENIK_št_1!B56</f>
        <v>Tovorno vozilo do 24 t sdm</v>
      </c>
      <c r="E183" s="739"/>
      <c r="F183" s="147">
        <v>140000</v>
      </c>
      <c r="G183" s="148"/>
      <c r="H183" s="148"/>
      <c r="I183" s="149"/>
    </row>
    <row r="184" spans="2:9" x14ac:dyDescent="0.25">
      <c r="B184" s="110"/>
      <c r="C184" s="111"/>
      <c r="D184" s="740" t="s">
        <v>223</v>
      </c>
      <c r="E184" s="741"/>
      <c r="F184" s="150">
        <v>96</v>
      </c>
      <c r="G184" s="151"/>
      <c r="H184" s="151"/>
      <c r="I184" s="152"/>
    </row>
    <row r="185" spans="2:9" x14ac:dyDescent="0.25">
      <c r="B185" s="110"/>
      <c r="C185" s="111"/>
      <c r="D185" s="740" t="s">
        <v>222</v>
      </c>
      <c r="E185" s="741"/>
      <c r="F185" s="150">
        <v>125</v>
      </c>
      <c r="G185" s="151"/>
      <c r="H185" s="151"/>
      <c r="I185" s="152"/>
    </row>
    <row r="186" spans="2:9" x14ac:dyDescent="0.25">
      <c r="B186" s="742"/>
      <c r="C186" s="743"/>
      <c r="D186" s="744" t="s">
        <v>218</v>
      </c>
      <c r="E186" s="745"/>
      <c r="F186" s="153"/>
      <c r="G186" s="120"/>
      <c r="H186" s="28">
        <f>H43</f>
        <v>18.077615849828966</v>
      </c>
      <c r="I186" s="113">
        <f>F185*H186</f>
        <v>2259.7019812286208</v>
      </c>
    </row>
    <row r="187" spans="2:9" x14ac:dyDescent="0.25">
      <c r="B187" s="742"/>
      <c r="C187" s="743"/>
      <c r="D187" s="746" t="s">
        <v>176</v>
      </c>
      <c r="E187" s="747"/>
      <c r="F187" s="154"/>
      <c r="G187" s="120"/>
      <c r="H187" s="112">
        <f>5000/12/F185</f>
        <v>3.3333333333333335</v>
      </c>
      <c r="I187" s="113">
        <f>F185*H187</f>
        <v>416.66666666666669</v>
      </c>
    </row>
    <row r="188" spans="2:9" x14ac:dyDescent="0.25">
      <c r="B188" s="742"/>
      <c r="C188" s="743"/>
      <c r="D188" s="748" t="s">
        <v>391</v>
      </c>
      <c r="E188" s="747"/>
      <c r="F188" s="154"/>
      <c r="G188" s="120">
        <v>12.25</v>
      </c>
      <c r="H188" s="112">
        <v>1.1890000000000001</v>
      </c>
      <c r="I188" s="122">
        <f>F185*G188*H188</f>
        <v>1820.65625</v>
      </c>
    </row>
    <row r="189" spans="2:9" ht="15.75" thickBot="1" x14ac:dyDescent="0.3">
      <c r="B189" s="742"/>
      <c r="C189" s="743"/>
      <c r="D189" s="753" t="s">
        <v>174</v>
      </c>
      <c r="E189" s="745"/>
      <c r="F189" s="155"/>
      <c r="G189" s="120"/>
      <c r="H189" s="120"/>
      <c r="I189" s="119">
        <f>F183/F184</f>
        <v>1458.3333333333333</v>
      </c>
    </row>
    <row r="190" spans="2:9" ht="15.75" thickTop="1" x14ac:dyDescent="0.25">
      <c r="B190" s="742"/>
      <c r="C190" s="743"/>
      <c r="D190" s="749" t="s">
        <v>167</v>
      </c>
      <c r="E190" s="750"/>
      <c r="F190" s="154"/>
      <c r="G190" s="120"/>
      <c r="H190" s="120"/>
      <c r="I190" s="156">
        <f>SUM(I186:I189)</f>
        <v>5955.3582312286208</v>
      </c>
    </row>
    <row r="191" spans="2:9" ht="15.75" thickBot="1" x14ac:dyDescent="0.3">
      <c r="B191" s="721"/>
      <c r="C191" s="722"/>
      <c r="D191" s="723" t="s">
        <v>221</v>
      </c>
      <c r="E191" s="724"/>
      <c r="F191" s="157"/>
      <c r="G191" s="158"/>
      <c r="H191" s="159"/>
      <c r="I191" s="115">
        <f>(I190/F185)*0.05</f>
        <v>2.3821432924914485</v>
      </c>
    </row>
    <row r="192" spans="2:9" ht="23.25" thickBot="1" x14ac:dyDescent="0.3">
      <c r="B192" s="725"/>
      <c r="C192" s="726"/>
      <c r="D192" s="727" t="s">
        <v>41</v>
      </c>
      <c r="E192" s="728"/>
      <c r="F192" s="160"/>
      <c r="G192" s="54" t="s">
        <v>403</v>
      </c>
      <c r="H192" s="161"/>
      <c r="I192" s="131">
        <f>(I190/F185)+I191</f>
        <v>50.025009142320414</v>
      </c>
    </row>
    <row r="193" spans="2:9" ht="15.75" thickBot="1" x14ac:dyDescent="0.3">
      <c r="B193" s="354"/>
      <c r="C193" s="354"/>
      <c r="D193" s="754" t="s">
        <v>404</v>
      </c>
      <c r="E193" s="728"/>
      <c r="F193" s="355"/>
      <c r="G193" s="383">
        <v>30</v>
      </c>
      <c r="H193" s="356"/>
      <c r="I193" s="131">
        <f>I192/G193</f>
        <v>1.6675003047440138</v>
      </c>
    </row>
    <row r="194" spans="2:9" x14ac:dyDescent="0.25">
      <c r="B194" s="132"/>
      <c r="C194" s="132"/>
      <c r="D194" s="200"/>
      <c r="E194" s="133"/>
      <c r="F194" s="162"/>
      <c r="G194" s="453"/>
      <c r="H194" s="134"/>
      <c r="I194" s="136"/>
    </row>
    <row r="195" spans="2:9" ht="15.75" thickBot="1" x14ac:dyDescent="0.3">
      <c r="B195" s="132"/>
      <c r="C195" s="132"/>
      <c r="D195" s="133"/>
      <c r="E195" s="133"/>
      <c r="F195" s="162"/>
      <c r="G195" s="134"/>
      <c r="H195" s="134"/>
      <c r="I195" s="136"/>
    </row>
    <row r="196" spans="2:9" ht="15.75" thickBot="1" x14ac:dyDescent="0.3">
      <c r="B196" s="145" t="s">
        <v>6</v>
      </c>
      <c r="C196" s="729" t="s">
        <v>3</v>
      </c>
      <c r="D196" s="730"/>
      <c r="E196" s="730"/>
      <c r="F196" s="730"/>
      <c r="G196" s="730"/>
      <c r="H196" s="730"/>
      <c r="I196" s="731"/>
    </row>
    <row r="197" spans="2:9" ht="23.25" thickBot="1" x14ac:dyDescent="0.3">
      <c r="B197" s="732" t="s">
        <v>37</v>
      </c>
      <c r="C197" s="733"/>
      <c r="D197" s="734" t="s">
        <v>38</v>
      </c>
      <c r="E197" s="735"/>
      <c r="F197" s="146" t="s">
        <v>39</v>
      </c>
      <c r="G197" s="106" t="s">
        <v>40</v>
      </c>
      <c r="H197" s="106" t="s">
        <v>41</v>
      </c>
      <c r="I197" s="107" t="s">
        <v>42</v>
      </c>
    </row>
    <row r="198" spans="2:9" ht="27" customHeight="1" x14ac:dyDescent="0.25">
      <c r="B198" s="736" t="s">
        <v>32</v>
      </c>
      <c r="C198" s="737"/>
      <c r="D198" s="738" t="str">
        <f>CENIK_št_1!B57</f>
        <v>Tovorno vozilo do 15 t sdm z avtodvigalom</v>
      </c>
      <c r="E198" s="739"/>
      <c r="F198" s="147">
        <v>155000</v>
      </c>
      <c r="G198" s="148"/>
      <c r="H198" s="148"/>
      <c r="I198" s="149"/>
    </row>
    <row r="199" spans="2:9" ht="15" customHeight="1" x14ac:dyDescent="0.25">
      <c r="B199" s="110"/>
      <c r="C199" s="111"/>
      <c r="D199" s="740" t="s">
        <v>223</v>
      </c>
      <c r="E199" s="741"/>
      <c r="F199" s="150">
        <v>96</v>
      </c>
      <c r="G199" s="151"/>
      <c r="H199" s="151"/>
      <c r="I199" s="152"/>
    </row>
    <row r="200" spans="2:9" x14ac:dyDescent="0.25">
      <c r="B200" s="110"/>
      <c r="C200" s="111"/>
      <c r="D200" s="740" t="s">
        <v>222</v>
      </c>
      <c r="E200" s="741"/>
      <c r="F200" s="150">
        <v>100</v>
      </c>
      <c r="G200" s="151"/>
      <c r="H200" s="151"/>
      <c r="I200" s="152"/>
    </row>
    <row r="201" spans="2:9" x14ac:dyDescent="0.25">
      <c r="B201" s="742"/>
      <c r="C201" s="743"/>
      <c r="D201" s="744" t="s">
        <v>218</v>
      </c>
      <c r="E201" s="745"/>
      <c r="F201" s="153"/>
      <c r="G201" s="120"/>
      <c r="H201" s="112">
        <f>H43</f>
        <v>18.077615849828966</v>
      </c>
      <c r="I201" s="113">
        <f>F200*H201</f>
        <v>1807.7615849828967</v>
      </c>
    </row>
    <row r="202" spans="2:9" ht="25.5" customHeight="1" x14ac:dyDescent="0.25">
      <c r="B202" s="742"/>
      <c r="C202" s="743"/>
      <c r="D202" s="746" t="s">
        <v>225</v>
      </c>
      <c r="E202" s="747"/>
      <c r="F202" s="154"/>
      <c r="G202" s="120"/>
      <c r="H202" s="112">
        <v>4</v>
      </c>
      <c r="I202" s="113">
        <f>F200*H202</f>
        <v>400</v>
      </c>
    </row>
    <row r="203" spans="2:9" ht="15.75" customHeight="1" x14ac:dyDescent="0.25">
      <c r="B203" s="742"/>
      <c r="C203" s="743"/>
      <c r="D203" s="748" t="s">
        <v>391</v>
      </c>
      <c r="E203" s="747"/>
      <c r="F203" s="154"/>
      <c r="G203" s="120">
        <v>11.5</v>
      </c>
      <c r="H203" s="112">
        <v>1.56</v>
      </c>
      <c r="I203" s="122">
        <f>F200*G203*H203</f>
        <v>1794</v>
      </c>
    </row>
    <row r="204" spans="2:9" ht="15.75" thickBot="1" x14ac:dyDescent="0.3">
      <c r="B204" s="742"/>
      <c r="C204" s="743"/>
      <c r="D204" s="753" t="s">
        <v>662</v>
      </c>
      <c r="E204" s="745"/>
      <c r="F204" s="155"/>
      <c r="G204" s="120"/>
      <c r="H204" s="120"/>
      <c r="I204" s="119">
        <f>F198/F199</f>
        <v>1614.5833333333333</v>
      </c>
    </row>
    <row r="205" spans="2:9" ht="15.75" thickTop="1" x14ac:dyDescent="0.25">
      <c r="B205" s="742"/>
      <c r="C205" s="743"/>
      <c r="D205" s="749" t="s">
        <v>167</v>
      </c>
      <c r="E205" s="750"/>
      <c r="F205" s="154"/>
      <c r="G205" s="120"/>
      <c r="H205" s="120"/>
      <c r="I205" s="156">
        <f>SUM(I201:I204)</f>
        <v>5616.3449183162302</v>
      </c>
    </row>
    <row r="206" spans="2:9" ht="15.75" thickBot="1" x14ac:dyDescent="0.3">
      <c r="B206" s="721"/>
      <c r="C206" s="722"/>
      <c r="D206" s="723" t="s">
        <v>221</v>
      </c>
      <c r="E206" s="724"/>
      <c r="F206" s="157"/>
      <c r="G206" s="158"/>
      <c r="H206" s="159"/>
      <c r="I206" s="115">
        <f>(I205/F200)*0.05</f>
        <v>2.808172459158115</v>
      </c>
    </row>
    <row r="207" spans="2:9" ht="15.75" thickBot="1" x14ac:dyDescent="0.3">
      <c r="B207" s="725"/>
      <c r="C207" s="726"/>
      <c r="D207" s="727" t="s">
        <v>41</v>
      </c>
      <c r="E207" s="728"/>
      <c r="F207" s="160"/>
      <c r="G207" s="129"/>
      <c r="H207" s="161"/>
      <c r="I207" s="131">
        <f>(I205/F200)+I206</f>
        <v>58.971621642320414</v>
      </c>
    </row>
    <row r="208" spans="2:9" ht="15.75" thickBot="1" x14ac:dyDescent="0.3">
      <c r="B208" s="132"/>
      <c r="C208" s="132"/>
      <c r="D208" s="133"/>
      <c r="E208" s="133"/>
      <c r="F208" s="162"/>
      <c r="G208" s="134"/>
      <c r="H208" s="134"/>
      <c r="I208" s="136"/>
    </row>
    <row r="209" spans="2:9" ht="15.75" thickBot="1" x14ac:dyDescent="0.3">
      <c r="B209" s="145" t="s">
        <v>6</v>
      </c>
      <c r="C209" s="729" t="s">
        <v>3</v>
      </c>
      <c r="D209" s="730"/>
      <c r="E209" s="730"/>
      <c r="F209" s="730"/>
      <c r="G209" s="730"/>
      <c r="H209" s="730"/>
      <c r="I209" s="731"/>
    </row>
    <row r="210" spans="2:9" ht="23.25" thickBot="1" x14ac:dyDescent="0.3">
      <c r="B210" s="732" t="s">
        <v>37</v>
      </c>
      <c r="C210" s="733"/>
      <c r="D210" s="734" t="s">
        <v>38</v>
      </c>
      <c r="E210" s="735"/>
      <c r="F210" s="146" t="s">
        <v>39</v>
      </c>
      <c r="G210" s="106" t="s">
        <v>40</v>
      </c>
      <c r="H210" s="106" t="s">
        <v>41</v>
      </c>
      <c r="I210" s="107" t="s">
        <v>42</v>
      </c>
    </row>
    <row r="211" spans="2:9" ht="25.5" customHeight="1" x14ac:dyDescent="0.25">
      <c r="B211" s="736" t="s">
        <v>33</v>
      </c>
      <c r="C211" s="737"/>
      <c r="D211" s="738" t="str">
        <f>CENIK_št_1!B58</f>
        <v>Tovorno vozilo od 15 - 24 t sdm z avtodvigalom</v>
      </c>
      <c r="E211" s="739"/>
      <c r="F211" s="147">
        <v>160000</v>
      </c>
      <c r="G211" s="148"/>
      <c r="H211" s="148"/>
      <c r="I211" s="149"/>
    </row>
    <row r="212" spans="2:9" ht="15" customHeight="1" x14ac:dyDescent="0.25">
      <c r="B212" s="110"/>
      <c r="C212" s="111"/>
      <c r="D212" s="740" t="s">
        <v>223</v>
      </c>
      <c r="E212" s="741"/>
      <c r="F212" s="150">
        <v>96</v>
      </c>
      <c r="G212" s="151"/>
      <c r="H212" s="151"/>
      <c r="I212" s="152"/>
    </row>
    <row r="213" spans="2:9" x14ac:dyDescent="0.25">
      <c r="B213" s="110"/>
      <c r="C213" s="111"/>
      <c r="D213" s="740" t="s">
        <v>222</v>
      </c>
      <c r="E213" s="741"/>
      <c r="F213" s="150">
        <v>100</v>
      </c>
      <c r="G213" s="151"/>
      <c r="H213" s="151"/>
      <c r="I213" s="152"/>
    </row>
    <row r="214" spans="2:9" x14ac:dyDescent="0.25">
      <c r="B214" s="742"/>
      <c r="C214" s="743"/>
      <c r="D214" s="744" t="s">
        <v>218</v>
      </c>
      <c r="E214" s="745"/>
      <c r="F214" s="153"/>
      <c r="G214" s="120"/>
      <c r="H214" s="112">
        <f>H43</f>
        <v>18.077615849828966</v>
      </c>
      <c r="I214" s="113">
        <f>F213*H214</f>
        <v>1807.7615849828967</v>
      </c>
    </row>
    <row r="215" spans="2:9" ht="24.75" customHeight="1" x14ac:dyDescent="0.25">
      <c r="B215" s="742"/>
      <c r="C215" s="743"/>
      <c r="D215" s="746" t="s">
        <v>225</v>
      </c>
      <c r="E215" s="747"/>
      <c r="F215" s="154"/>
      <c r="G215" s="120"/>
      <c r="H215" s="112">
        <f>6000/12/F213</f>
        <v>5</v>
      </c>
      <c r="I215" s="113">
        <f>F213*H215</f>
        <v>500</v>
      </c>
    </row>
    <row r="216" spans="2:9" ht="15.75" customHeight="1" x14ac:dyDescent="0.25">
      <c r="B216" s="742"/>
      <c r="C216" s="743"/>
      <c r="D216" s="748" t="s">
        <v>391</v>
      </c>
      <c r="E216" s="747"/>
      <c r="F216" s="154"/>
      <c r="G216" s="120">
        <f>35/100*35</f>
        <v>12.25</v>
      </c>
      <c r="H216" s="112">
        <v>1.56</v>
      </c>
      <c r="I216" s="122">
        <f>F213*G216*H216</f>
        <v>1911</v>
      </c>
    </row>
    <row r="217" spans="2:9" ht="15.75" thickBot="1" x14ac:dyDescent="0.3">
      <c r="B217" s="742"/>
      <c r="C217" s="743"/>
      <c r="D217" s="753" t="s">
        <v>662</v>
      </c>
      <c r="E217" s="745"/>
      <c r="F217" s="155"/>
      <c r="G217" s="120"/>
      <c r="H217" s="120"/>
      <c r="I217" s="119">
        <f>F211/F212</f>
        <v>1666.6666666666667</v>
      </c>
    </row>
    <row r="218" spans="2:9" ht="15.75" thickTop="1" x14ac:dyDescent="0.25">
      <c r="B218" s="742"/>
      <c r="C218" s="743"/>
      <c r="D218" s="749" t="s">
        <v>167</v>
      </c>
      <c r="E218" s="750"/>
      <c r="F218" s="154"/>
      <c r="G218" s="120"/>
      <c r="H218" s="120"/>
      <c r="I218" s="156">
        <f>SUM(I214:I217)</f>
        <v>5885.4282516495632</v>
      </c>
    </row>
    <row r="219" spans="2:9" ht="15.75" thickBot="1" x14ac:dyDescent="0.3">
      <c r="B219" s="721"/>
      <c r="C219" s="722"/>
      <c r="D219" s="723" t="s">
        <v>221</v>
      </c>
      <c r="E219" s="724"/>
      <c r="F219" s="157"/>
      <c r="G219" s="158"/>
      <c r="H219" s="159"/>
      <c r="I219" s="115">
        <f>(I218/F213)*0.05</f>
        <v>2.9427141258247818</v>
      </c>
    </row>
    <row r="220" spans="2:9" ht="15.75" thickBot="1" x14ac:dyDescent="0.3">
      <c r="B220" s="725"/>
      <c r="C220" s="726"/>
      <c r="D220" s="727" t="s">
        <v>41</v>
      </c>
      <c r="E220" s="728"/>
      <c r="F220" s="160"/>
      <c r="G220" s="129"/>
      <c r="H220" s="161"/>
      <c r="I220" s="131">
        <f>(I218/F213)+I219</f>
        <v>61.796996642320408</v>
      </c>
    </row>
    <row r="221" spans="2:9" ht="15.75" thickBot="1" x14ac:dyDescent="0.3">
      <c r="B221" s="132"/>
      <c r="C221" s="132"/>
      <c r="D221" s="133"/>
      <c r="E221" s="133"/>
      <c r="F221" s="162"/>
      <c r="G221" s="134"/>
      <c r="H221" s="134"/>
      <c r="I221" s="136"/>
    </row>
    <row r="222" spans="2:9" ht="15.75" thickBot="1" x14ac:dyDescent="0.3">
      <c r="B222" s="145" t="s">
        <v>6</v>
      </c>
      <c r="C222" s="729" t="s">
        <v>3</v>
      </c>
      <c r="D222" s="730"/>
      <c r="E222" s="730"/>
      <c r="F222" s="730"/>
      <c r="G222" s="730"/>
      <c r="H222" s="730"/>
      <c r="I222" s="731"/>
    </row>
    <row r="223" spans="2:9" ht="23.25" thickBot="1" x14ac:dyDescent="0.3">
      <c r="B223" s="732" t="s">
        <v>37</v>
      </c>
      <c r="C223" s="733"/>
      <c r="D223" s="734" t="s">
        <v>38</v>
      </c>
      <c r="E223" s="735"/>
      <c r="F223" s="146" t="s">
        <v>39</v>
      </c>
      <c r="G223" s="106" t="s">
        <v>40</v>
      </c>
      <c r="H223" s="106" t="s">
        <v>41</v>
      </c>
      <c r="I223" s="107" t="s">
        <v>42</v>
      </c>
    </row>
    <row r="224" spans="2:9" ht="28.5" customHeight="1" x14ac:dyDescent="0.25">
      <c r="B224" s="736" t="s">
        <v>35</v>
      </c>
      <c r="C224" s="737"/>
      <c r="D224" s="738" t="str">
        <f>CENIK_št_1!B59</f>
        <v>Tovorno vozilo do 24 t sdm s smetarsko nadgradnjo</v>
      </c>
      <c r="E224" s="739"/>
      <c r="F224" s="147">
        <v>230000</v>
      </c>
      <c r="G224" s="148"/>
      <c r="H224" s="148"/>
      <c r="I224" s="149"/>
    </row>
    <row r="225" spans="2:9" ht="15" customHeight="1" x14ac:dyDescent="0.25">
      <c r="B225" s="110"/>
      <c r="C225" s="111"/>
      <c r="D225" s="740" t="s">
        <v>223</v>
      </c>
      <c r="E225" s="741"/>
      <c r="F225" s="150">
        <v>96</v>
      </c>
      <c r="G225" s="151"/>
      <c r="H225" s="151"/>
      <c r="I225" s="152"/>
    </row>
    <row r="226" spans="2:9" x14ac:dyDescent="0.25">
      <c r="B226" s="110"/>
      <c r="C226" s="111"/>
      <c r="D226" s="740" t="s">
        <v>222</v>
      </c>
      <c r="E226" s="741"/>
      <c r="F226" s="150">
        <v>100</v>
      </c>
      <c r="G226" s="151"/>
      <c r="H226" s="151"/>
      <c r="I226" s="152"/>
    </row>
    <row r="227" spans="2:9" x14ac:dyDescent="0.25">
      <c r="B227" s="742"/>
      <c r="C227" s="743"/>
      <c r="D227" s="744" t="s">
        <v>218</v>
      </c>
      <c r="E227" s="745"/>
      <c r="F227" s="153"/>
      <c r="G227" s="120"/>
      <c r="H227" s="112">
        <f>H43</f>
        <v>18.077615849828966</v>
      </c>
      <c r="I227" s="113">
        <f>F226*H227</f>
        <v>1807.7615849828967</v>
      </c>
    </row>
    <row r="228" spans="2:9" ht="24" customHeight="1" x14ac:dyDescent="0.25">
      <c r="B228" s="742"/>
      <c r="C228" s="743"/>
      <c r="D228" s="746" t="s">
        <v>225</v>
      </c>
      <c r="E228" s="747"/>
      <c r="F228" s="154"/>
      <c r="G228" s="120"/>
      <c r="H228" s="112">
        <v>7.6</v>
      </c>
      <c r="I228" s="113">
        <f>F226*H228</f>
        <v>760</v>
      </c>
    </row>
    <row r="229" spans="2:9" ht="24.75" customHeight="1" x14ac:dyDescent="0.25">
      <c r="B229" s="742"/>
      <c r="C229" s="743"/>
      <c r="D229" s="746" t="s">
        <v>224</v>
      </c>
      <c r="E229" s="747"/>
      <c r="F229" s="154"/>
      <c r="G229" s="120">
        <v>12.25</v>
      </c>
      <c r="H229" s="112">
        <v>1.56</v>
      </c>
      <c r="I229" s="122">
        <f>F226*G229*H229</f>
        <v>1911</v>
      </c>
    </row>
    <row r="230" spans="2:9" ht="15.75" thickBot="1" x14ac:dyDescent="0.3">
      <c r="B230" s="742"/>
      <c r="C230" s="743"/>
      <c r="D230" s="753" t="s">
        <v>663</v>
      </c>
      <c r="E230" s="745"/>
      <c r="F230" s="155"/>
      <c r="G230" s="120"/>
      <c r="H230" s="120"/>
      <c r="I230" s="119">
        <f>F224/F225</f>
        <v>2395.8333333333335</v>
      </c>
    </row>
    <row r="231" spans="2:9" ht="15.75" thickTop="1" x14ac:dyDescent="0.25">
      <c r="B231" s="742"/>
      <c r="C231" s="743"/>
      <c r="D231" s="749" t="s">
        <v>167</v>
      </c>
      <c r="E231" s="750"/>
      <c r="F231" s="154"/>
      <c r="G231" s="120"/>
      <c r="H231" s="120"/>
      <c r="I231" s="156">
        <f>SUM(I227:I230)</f>
        <v>6874.5949183162302</v>
      </c>
    </row>
    <row r="232" spans="2:9" ht="15.75" thickBot="1" x14ac:dyDescent="0.3">
      <c r="B232" s="721"/>
      <c r="C232" s="722"/>
      <c r="D232" s="723" t="s">
        <v>221</v>
      </c>
      <c r="E232" s="724"/>
      <c r="F232" s="157"/>
      <c r="G232" s="158"/>
      <c r="H232" s="159"/>
      <c r="I232" s="115">
        <f>(I231/F226)*0.05</f>
        <v>3.4372974591581151</v>
      </c>
    </row>
    <row r="233" spans="2:9" ht="15.75" thickBot="1" x14ac:dyDescent="0.3">
      <c r="B233" s="725"/>
      <c r="C233" s="726"/>
      <c r="D233" s="727" t="s">
        <v>41</v>
      </c>
      <c r="E233" s="728"/>
      <c r="F233" s="160"/>
      <c r="G233" s="129"/>
      <c r="H233" s="161"/>
      <c r="I233" s="131">
        <f>(I231/F226)+I232</f>
        <v>72.183246642320412</v>
      </c>
    </row>
    <row r="235" spans="2:9" ht="15.75" thickBot="1" x14ac:dyDescent="0.3">
      <c r="B235" s="132"/>
      <c r="C235" s="132"/>
      <c r="D235" s="133"/>
      <c r="E235" s="133"/>
      <c r="F235" s="162"/>
      <c r="G235" s="134"/>
      <c r="H235" s="134"/>
      <c r="I235" s="136"/>
    </row>
    <row r="236" spans="2:9" ht="15.75" thickBot="1" x14ac:dyDescent="0.3">
      <c r="B236" s="145" t="s">
        <v>6</v>
      </c>
      <c r="C236" s="729" t="s">
        <v>3</v>
      </c>
      <c r="D236" s="730"/>
      <c r="E236" s="730"/>
      <c r="F236" s="730"/>
      <c r="G236" s="730"/>
      <c r="H236" s="730"/>
      <c r="I236" s="731"/>
    </row>
    <row r="237" spans="2:9" ht="23.25" thickBot="1" x14ac:dyDescent="0.3">
      <c r="B237" s="732" t="s">
        <v>37</v>
      </c>
      <c r="C237" s="733"/>
      <c r="D237" s="734" t="s">
        <v>38</v>
      </c>
      <c r="E237" s="735"/>
      <c r="F237" s="146" t="s">
        <v>39</v>
      </c>
      <c r="G237" s="106" t="s">
        <v>40</v>
      </c>
      <c r="H237" s="106" t="s">
        <v>41</v>
      </c>
      <c r="I237" s="107" t="s">
        <v>42</v>
      </c>
    </row>
    <row r="238" spans="2:9" ht="25.5" customHeight="1" x14ac:dyDescent="0.25">
      <c r="B238" s="736" t="s">
        <v>36</v>
      </c>
      <c r="C238" s="737"/>
      <c r="D238" s="738" t="str">
        <f>CENIK_št_1!B60</f>
        <v>Tovorno vozilo s samonakladalno nadgradnjo</v>
      </c>
      <c r="E238" s="739"/>
      <c r="F238" s="147">
        <v>107000</v>
      </c>
      <c r="G238" s="148"/>
      <c r="H238" s="148"/>
      <c r="I238" s="149"/>
    </row>
    <row r="239" spans="2:9" ht="15" customHeight="1" x14ac:dyDescent="0.25">
      <c r="B239" s="110"/>
      <c r="C239" s="111"/>
      <c r="D239" s="740" t="s">
        <v>223</v>
      </c>
      <c r="E239" s="741"/>
      <c r="F239" s="150">
        <v>96</v>
      </c>
      <c r="G239" s="151"/>
      <c r="H239" s="151"/>
      <c r="I239" s="152"/>
    </row>
    <row r="240" spans="2:9" x14ac:dyDescent="0.25">
      <c r="B240" s="110"/>
      <c r="C240" s="111"/>
      <c r="D240" s="740" t="s">
        <v>222</v>
      </c>
      <c r="E240" s="741"/>
      <c r="F240" s="150">
        <v>90</v>
      </c>
      <c r="G240" s="151"/>
      <c r="H240" s="151"/>
      <c r="I240" s="152"/>
    </row>
    <row r="241" spans="2:9" x14ac:dyDescent="0.25">
      <c r="B241" s="742"/>
      <c r="C241" s="743"/>
      <c r="D241" s="744" t="s">
        <v>218</v>
      </c>
      <c r="E241" s="745"/>
      <c r="F241" s="153"/>
      <c r="G241" s="120"/>
      <c r="H241" s="112">
        <f>H43</f>
        <v>18.077615849828966</v>
      </c>
      <c r="I241" s="113">
        <f>F240*H241</f>
        <v>1626.9854264846069</v>
      </c>
    </row>
    <row r="242" spans="2:9" ht="23.25" customHeight="1" x14ac:dyDescent="0.25">
      <c r="B242" s="742"/>
      <c r="C242" s="743"/>
      <c r="D242" s="746" t="s">
        <v>225</v>
      </c>
      <c r="E242" s="747"/>
      <c r="F242" s="154"/>
      <c r="G242" s="120"/>
      <c r="H242" s="112">
        <f>5500/12/F240</f>
        <v>5.0925925925925926</v>
      </c>
      <c r="I242" s="113">
        <f>F240*H242</f>
        <v>458.33333333333331</v>
      </c>
    </row>
    <row r="243" spans="2:9" ht="24.75" customHeight="1" x14ac:dyDescent="0.25">
      <c r="B243" s="742"/>
      <c r="C243" s="743"/>
      <c r="D243" s="748" t="s">
        <v>392</v>
      </c>
      <c r="E243" s="747"/>
      <c r="F243" s="154"/>
      <c r="G243" s="120">
        <f>35/100*30</f>
        <v>10.5</v>
      </c>
      <c r="H243" s="112">
        <v>1.56</v>
      </c>
      <c r="I243" s="122">
        <f>F240*G243*H243</f>
        <v>1474.2</v>
      </c>
    </row>
    <row r="244" spans="2:9" ht="15.75" thickBot="1" x14ac:dyDescent="0.3">
      <c r="B244" s="742"/>
      <c r="C244" s="743"/>
      <c r="D244" s="744" t="s">
        <v>174</v>
      </c>
      <c r="E244" s="745"/>
      <c r="F244" s="155"/>
      <c r="G244" s="120"/>
      <c r="H244" s="120"/>
      <c r="I244" s="119">
        <f>F238/F239</f>
        <v>1114.5833333333333</v>
      </c>
    </row>
    <row r="245" spans="2:9" ht="15.75" thickTop="1" x14ac:dyDescent="0.25">
      <c r="B245" s="742"/>
      <c r="C245" s="743"/>
      <c r="D245" s="749" t="s">
        <v>167</v>
      </c>
      <c r="E245" s="750"/>
      <c r="F245" s="154"/>
      <c r="G245" s="120"/>
      <c r="H245" s="120"/>
      <c r="I245" s="156">
        <f>SUM(I241:I244)</f>
        <v>4674.102093151273</v>
      </c>
    </row>
    <row r="246" spans="2:9" ht="15.75" thickBot="1" x14ac:dyDescent="0.3">
      <c r="B246" s="721"/>
      <c r="C246" s="722"/>
      <c r="D246" s="723" t="s">
        <v>221</v>
      </c>
      <c r="E246" s="724"/>
      <c r="F246" s="157"/>
      <c r="G246" s="158"/>
      <c r="H246" s="159"/>
      <c r="I246" s="115">
        <f>(I245/F240)*0.05</f>
        <v>2.5967233850840405</v>
      </c>
    </row>
    <row r="247" spans="2:9" ht="15.75" thickBot="1" x14ac:dyDescent="0.3">
      <c r="B247" s="725"/>
      <c r="C247" s="726"/>
      <c r="D247" s="727" t="s">
        <v>41</v>
      </c>
      <c r="E247" s="728"/>
      <c r="F247" s="160"/>
      <c r="G247" s="129"/>
      <c r="H247" s="161"/>
      <c r="I247" s="131">
        <f>(I245/F240)+I246</f>
        <v>54.531191086764849</v>
      </c>
    </row>
    <row r="248" spans="2:9" ht="15.75" thickBot="1" x14ac:dyDescent="0.3">
      <c r="B248" s="132"/>
      <c r="C248" s="132"/>
      <c r="D248" s="133"/>
      <c r="E248" s="133"/>
      <c r="F248" s="162"/>
      <c r="G248" s="134"/>
      <c r="H248" s="134"/>
      <c r="I248" s="136"/>
    </row>
    <row r="249" spans="2:9" ht="15.75" thickBot="1" x14ac:dyDescent="0.3">
      <c r="B249" s="145" t="s">
        <v>6</v>
      </c>
      <c r="C249" s="729" t="s">
        <v>3</v>
      </c>
      <c r="D249" s="730"/>
      <c r="E249" s="730"/>
      <c r="F249" s="730"/>
      <c r="G249" s="730"/>
      <c r="H249" s="730"/>
      <c r="I249" s="731"/>
    </row>
    <row r="250" spans="2:9" ht="23.25" thickBot="1" x14ac:dyDescent="0.3">
      <c r="B250" s="732" t="s">
        <v>37</v>
      </c>
      <c r="C250" s="733"/>
      <c r="D250" s="734" t="s">
        <v>38</v>
      </c>
      <c r="E250" s="735"/>
      <c r="F250" s="146" t="s">
        <v>39</v>
      </c>
      <c r="G250" s="106" t="s">
        <v>40</v>
      </c>
      <c r="H250" s="106" t="s">
        <v>41</v>
      </c>
      <c r="I250" s="107" t="s">
        <v>42</v>
      </c>
    </row>
    <row r="251" spans="2:9" x14ac:dyDescent="0.25">
      <c r="B251" s="736" t="s">
        <v>45</v>
      </c>
      <c r="C251" s="737"/>
      <c r="D251" s="738" t="str">
        <f>CENIK_št_1!B61</f>
        <v>Tovorno vozilo kanaljet</v>
      </c>
      <c r="E251" s="739"/>
      <c r="F251" s="147">
        <v>280000</v>
      </c>
      <c r="G251" s="148"/>
      <c r="H251" s="148"/>
      <c r="I251" s="149"/>
    </row>
    <row r="252" spans="2:9" ht="15" customHeight="1" x14ac:dyDescent="0.25">
      <c r="B252" s="110"/>
      <c r="C252" s="111"/>
      <c r="D252" s="740" t="s">
        <v>223</v>
      </c>
      <c r="E252" s="741"/>
      <c r="F252" s="150">
        <v>96</v>
      </c>
      <c r="G252" s="151"/>
      <c r="H252" s="151"/>
      <c r="I252" s="152"/>
    </row>
    <row r="253" spans="2:9" x14ac:dyDescent="0.25">
      <c r="B253" s="110"/>
      <c r="C253" s="111"/>
      <c r="D253" s="740" t="s">
        <v>222</v>
      </c>
      <c r="E253" s="741"/>
      <c r="F253" s="150">
        <v>80</v>
      </c>
      <c r="G253" s="151"/>
      <c r="H253" s="151"/>
      <c r="I253" s="152"/>
    </row>
    <row r="254" spans="2:9" x14ac:dyDescent="0.25">
      <c r="B254" s="742"/>
      <c r="C254" s="743"/>
      <c r="D254" s="744" t="s">
        <v>218</v>
      </c>
      <c r="E254" s="745"/>
      <c r="F254" s="153"/>
      <c r="G254" s="120"/>
      <c r="H254" s="112">
        <f>H43</f>
        <v>18.077615849828966</v>
      </c>
      <c r="I254" s="113">
        <f>F253*H254</f>
        <v>1446.2092679863172</v>
      </c>
    </row>
    <row r="255" spans="2:9" ht="24.75" customHeight="1" x14ac:dyDescent="0.25">
      <c r="B255" s="742"/>
      <c r="C255" s="743"/>
      <c r="D255" s="746" t="s">
        <v>225</v>
      </c>
      <c r="E255" s="747"/>
      <c r="F255" s="154"/>
      <c r="G255" s="120"/>
      <c r="H255" s="112">
        <f>15000/12/F253</f>
        <v>15.625</v>
      </c>
      <c r="I255" s="113">
        <f>F253*H255</f>
        <v>1250</v>
      </c>
    </row>
    <row r="256" spans="2:9" ht="18.75" customHeight="1" x14ac:dyDescent="0.25">
      <c r="B256" s="742"/>
      <c r="C256" s="743"/>
      <c r="D256" s="748" t="s">
        <v>391</v>
      </c>
      <c r="E256" s="747"/>
      <c r="F256" s="154"/>
      <c r="G256" s="120">
        <f>35/100*40</f>
        <v>14</v>
      </c>
      <c r="H256" s="112">
        <v>1.56</v>
      </c>
      <c r="I256" s="122">
        <f>F253*G256*H256</f>
        <v>1747.2</v>
      </c>
    </row>
    <row r="257" spans="2:9" ht="15.75" thickBot="1" x14ac:dyDescent="0.3">
      <c r="B257" s="742"/>
      <c r="C257" s="743"/>
      <c r="D257" s="744" t="s">
        <v>174</v>
      </c>
      <c r="E257" s="745"/>
      <c r="F257" s="155"/>
      <c r="G257" s="120"/>
      <c r="H257" s="120"/>
      <c r="I257" s="119">
        <f>F251/F252</f>
        <v>2916.6666666666665</v>
      </c>
    </row>
    <row r="258" spans="2:9" ht="15.75" thickTop="1" x14ac:dyDescent="0.25">
      <c r="B258" s="742"/>
      <c r="C258" s="743"/>
      <c r="D258" s="749" t="s">
        <v>167</v>
      </c>
      <c r="E258" s="750"/>
      <c r="F258" s="154"/>
      <c r="G258" s="120"/>
      <c r="H258" s="120"/>
      <c r="I258" s="156">
        <f>SUM(I254:I257)</f>
        <v>7360.0759346529831</v>
      </c>
    </row>
    <row r="259" spans="2:9" ht="15.75" thickBot="1" x14ac:dyDescent="0.3">
      <c r="B259" s="721"/>
      <c r="C259" s="722"/>
      <c r="D259" s="723" t="s">
        <v>221</v>
      </c>
      <c r="E259" s="724"/>
      <c r="F259" s="157"/>
      <c r="G259" s="158"/>
      <c r="H259" s="159"/>
      <c r="I259" s="115">
        <f>(I258/F253)*0.05</f>
        <v>4.6000474591581151</v>
      </c>
    </row>
    <row r="260" spans="2:9" ht="15.75" thickBot="1" x14ac:dyDescent="0.3">
      <c r="B260" s="725"/>
      <c r="C260" s="726"/>
      <c r="D260" s="727" t="s">
        <v>41</v>
      </c>
      <c r="E260" s="728"/>
      <c r="F260" s="160"/>
      <c r="G260" s="129"/>
      <c r="H260" s="161"/>
      <c r="I260" s="131">
        <f>(I258/F253)+I259</f>
        <v>96.600996642320411</v>
      </c>
    </row>
    <row r="261" spans="2:9" ht="15.75" thickBot="1" x14ac:dyDescent="0.3">
      <c r="B261" s="354"/>
      <c r="C261" s="354"/>
      <c r="D261" s="585"/>
      <c r="E261" s="585"/>
      <c r="F261" s="355"/>
      <c r="G261" s="356"/>
      <c r="H261" s="356"/>
      <c r="I261" s="586"/>
    </row>
    <row r="262" spans="2:9" ht="15.75" thickBot="1" x14ac:dyDescent="0.3">
      <c r="B262" s="145" t="s">
        <v>6</v>
      </c>
      <c r="C262" s="729" t="s">
        <v>3</v>
      </c>
      <c r="D262" s="730"/>
      <c r="E262" s="730"/>
      <c r="F262" s="730"/>
      <c r="G262" s="730"/>
      <c r="H262" s="730"/>
      <c r="I262" s="731"/>
    </row>
    <row r="263" spans="2:9" ht="23.25" thickBot="1" x14ac:dyDescent="0.3">
      <c r="B263" s="732" t="s">
        <v>37</v>
      </c>
      <c r="C263" s="733"/>
      <c r="D263" s="734" t="s">
        <v>38</v>
      </c>
      <c r="E263" s="735"/>
      <c r="F263" s="146" t="s">
        <v>39</v>
      </c>
      <c r="G263" s="106" t="s">
        <v>40</v>
      </c>
      <c r="H263" s="106" t="s">
        <v>41</v>
      </c>
      <c r="I263" s="107" t="s">
        <v>42</v>
      </c>
    </row>
    <row r="264" spans="2:9" ht="33" customHeight="1" x14ac:dyDescent="0.25">
      <c r="B264" s="736" t="s">
        <v>46</v>
      </c>
      <c r="C264" s="737"/>
      <c r="D264" s="738" t="str">
        <f>CENIK_št_1!B62</f>
        <v>Visokotlačni čistilec na tovornem vozilu do 3,5 sdm</v>
      </c>
      <c r="E264" s="739"/>
      <c r="F264" s="147">
        <f>24088+45000</f>
        <v>69088</v>
      </c>
      <c r="G264" s="148"/>
      <c r="H264" s="148"/>
      <c r="I264" s="149"/>
    </row>
    <row r="265" spans="2:9" x14ac:dyDescent="0.25">
      <c r="B265" s="110"/>
      <c r="C265" s="111"/>
      <c r="D265" s="740" t="s">
        <v>223</v>
      </c>
      <c r="E265" s="741"/>
      <c r="F265" s="150">
        <v>96</v>
      </c>
      <c r="G265" s="151"/>
      <c r="H265" s="151"/>
      <c r="I265" s="152"/>
    </row>
    <row r="266" spans="2:9" x14ac:dyDescent="0.25">
      <c r="B266" s="110"/>
      <c r="C266" s="111"/>
      <c r="D266" s="740" t="s">
        <v>222</v>
      </c>
      <c r="E266" s="741"/>
      <c r="F266" s="150">
        <v>50</v>
      </c>
      <c r="G266" s="151"/>
      <c r="H266" s="151"/>
      <c r="I266" s="152"/>
    </row>
    <row r="267" spans="2:9" x14ac:dyDescent="0.25">
      <c r="B267" s="742"/>
      <c r="C267" s="743"/>
      <c r="D267" s="744" t="s">
        <v>218</v>
      </c>
      <c r="E267" s="745"/>
      <c r="F267" s="153"/>
      <c r="G267" s="120"/>
      <c r="H267" s="112">
        <f>H43</f>
        <v>18.077615849828966</v>
      </c>
      <c r="I267" s="113">
        <f>F266*H267</f>
        <v>903.88079249144835</v>
      </c>
    </row>
    <row r="268" spans="2:9" x14ac:dyDescent="0.25">
      <c r="B268" s="742"/>
      <c r="C268" s="743"/>
      <c r="D268" s="746" t="s">
        <v>225</v>
      </c>
      <c r="E268" s="747"/>
      <c r="F268" s="154"/>
      <c r="G268" s="120"/>
      <c r="H268" s="112">
        <f>10000/12/F266</f>
        <v>16.666666666666668</v>
      </c>
      <c r="I268" s="113">
        <f>F266*H268</f>
        <v>833.33333333333337</v>
      </c>
    </row>
    <row r="269" spans="2:9" x14ac:dyDescent="0.25">
      <c r="B269" s="742"/>
      <c r="C269" s="743"/>
      <c r="D269" s="748" t="s">
        <v>391</v>
      </c>
      <c r="E269" s="747"/>
      <c r="F269" s="154"/>
      <c r="G269" s="120">
        <f>45/100*40</f>
        <v>18</v>
      </c>
      <c r="H269" s="112">
        <v>1.56</v>
      </c>
      <c r="I269" s="122">
        <f>F266*G269*H269</f>
        <v>1404</v>
      </c>
    </row>
    <row r="270" spans="2:9" ht="15.75" thickBot="1" x14ac:dyDescent="0.3">
      <c r="B270" s="742"/>
      <c r="C270" s="743"/>
      <c r="D270" s="744" t="s">
        <v>174</v>
      </c>
      <c r="E270" s="745"/>
      <c r="F270" s="155"/>
      <c r="G270" s="120"/>
      <c r="H270" s="120"/>
      <c r="I270" s="119">
        <f>F264/F265</f>
        <v>719.66666666666663</v>
      </c>
    </row>
    <row r="271" spans="2:9" ht="15.75" thickTop="1" x14ac:dyDescent="0.25">
      <c r="B271" s="742"/>
      <c r="C271" s="743"/>
      <c r="D271" s="749" t="s">
        <v>167</v>
      </c>
      <c r="E271" s="750"/>
      <c r="F271" s="154"/>
      <c r="G271" s="120"/>
      <c r="H271" s="120"/>
      <c r="I271" s="156">
        <f>SUM(I267:I270)</f>
        <v>3860.8807924914481</v>
      </c>
    </row>
    <row r="272" spans="2:9" ht="15.75" thickBot="1" x14ac:dyDescent="0.3">
      <c r="B272" s="721"/>
      <c r="C272" s="722"/>
      <c r="D272" s="723" t="s">
        <v>221</v>
      </c>
      <c r="E272" s="724"/>
      <c r="F272" s="157"/>
      <c r="G272" s="158"/>
      <c r="H272" s="159"/>
      <c r="I272" s="115">
        <f>(I271/F266)*0.05</f>
        <v>3.8608807924914483</v>
      </c>
    </row>
    <row r="273" spans="2:9" ht="15.75" thickBot="1" x14ac:dyDescent="0.3">
      <c r="B273" s="725"/>
      <c r="C273" s="726"/>
      <c r="D273" s="727" t="s">
        <v>41</v>
      </c>
      <c r="E273" s="728"/>
      <c r="F273" s="160"/>
      <c r="G273" s="129"/>
      <c r="H273" s="161"/>
      <c r="I273" s="131">
        <f>(I271/F266)+I272</f>
        <v>81.078496642320403</v>
      </c>
    </row>
    <row r="274" spans="2:9" ht="15.75" thickBot="1" x14ac:dyDescent="0.3">
      <c r="B274" s="354"/>
      <c r="C274" s="354"/>
      <c r="D274" s="585"/>
      <c r="E274" s="585"/>
      <c r="F274" s="355"/>
      <c r="G274" s="356"/>
      <c r="H274" s="356"/>
      <c r="I274" s="586"/>
    </row>
    <row r="275" spans="2:9" ht="15.75" thickBot="1" x14ac:dyDescent="0.3">
      <c r="B275" s="145" t="s">
        <v>6</v>
      </c>
      <c r="C275" s="729" t="s">
        <v>3</v>
      </c>
      <c r="D275" s="730"/>
      <c r="E275" s="730"/>
      <c r="F275" s="730"/>
      <c r="G275" s="730"/>
      <c r="H275" s="730"/>
      <c r="I275" s="731"/>
    </row>
    <row r="276" spans="2:9" ht="23.25" thickBot="1" x14ac:dyDescent="0.3">
      <c r="B276" s="732" t="s">
        <v>37</v>
      </c>
      <c r="C276" s="733"/>
      <c r="D276" s="734" t="s">
        <v>38</v>
      </c>
      <c r="E276" s="735"/>
      <c r="F276" s="146" t="s">
        <v>39</v>
      </c>
      <c r="G276" s="106" t="s">
        <v>40</v>
      </c>
      <c r="H276" s="106" t="s">
        <v>41</v>
      </c>
      <c r="I276" s="107" t="s">
        <v>42</v>
      </c>
    </row>
    <row r="277" spans="2:9" ht="30" customHeight="1" x14ac:dyDescent="0.25">
      <c r="B277" s="736" t="s">
        <v>47</v>
      </c>
      <c r="C277" s="737"/>
      <c r="D277" s="738" t="str">
        <f>CENIK_št_1!B63</f>
        <v>Tovorno vozilo do 15 t sdm z nadgradnjo za črpanje greznic</v>
      </c>
      <c r="E277" s="739"/>
      <c r="F277" s="147">
        <v>105000</v>
      </c>
      <c r="G277" s="148"/>
      <c r="H277" s="148"/>
      <c r="I277" s="149"/>
    </row>
    <row r="278" spans="2:9" x14ac:dyDescent="0.25">
      <c r="B278" s="110"/>
      <c r="C278" s="111"/>
      <c r="D278" s="740" t="s">
        <v>223</v>
      </c>
      <c r="E278" s="741"/>
      <c r="F278" s="150">
        <v>96</v>
      </c>
      <c r="G278" s="151"/>
      <c r="H278" s="151"/>
      <c r="I278" s="152"/>
    </row>
    <row r="279" spans="2:9" x14ac:dyDescent="0.25">
      <c r="B279" s="110"/>
      <c r="C279" s="111"/>
      <c r="D279" s="740" t="s">
        <v>222</v>
      </c>
      <c r="E279" s="741"/>
      <c r="F279" s="150">
        <v>90</v>
      </c>
      <c r="G279" s="151"/>
      <c r="H279" s="151"/>
      <c r="I279" s="152"/>
    </row>
    <row r="280" spans="2:9" ht="16.5" customHeight="1" x14ac:dyDescent="0.25">
      <c r="B280" s="742"/>
      <c r="C280" s="743"/>
      <c r="D280" s="744" t="s">
        <v>218</v>
      </c>
      <c r="E280" s="745"/>
      <c r="F280" s="153"/>
      <c r="G280" s="120"/>
      <c r="H280" s="112">
        <f>KALKULACIJA_CENIK_št_1!H254</f>
        <v>18.077615849828966</v>
      </c>
      <c r="I280" s="113">
        <f>F279*H280</f>
        <v>1626.9854264846069</v>
      </c>
    </row>
    <row r="281" spans="2:9" ht="24.75" customHeight="1" x14ac:dyDescent="0.25">
      <c r="B281" s="742"/>
      <c r="C281" s="743"/>
      <c r="D281" s="746" t="s">
        <v>225</v>
      </c>
      <c r="E281" s="747"/>
      <c r="F281" s="154"/>
      <c r="G281" s="120"/>
      <c r="H281" s="112">
        <v>5.09</v>
      </c>
      <c r="I281" s="113">
        <f>F279*H281</f>
        <v>458.09999999999997</v>
      </c>
    </row>
    <row r="282" spans="2:9" ht="18.75" customHeight="1" x14ac:dyDescent="0.25">
      <c r="B282" s="742"/>
      <c r="C282" s="743"/>
      <c r="D282" s="748" t="s">
        <v>391</v>
      </c>
      <c r="E282" s="747"/>
      <c r="F282" s="154"/>
      <c r="G282" s="120">
        <v>11.5</v>
      </c>
      <c r="H282" s="112">
        <v>1.56</v>
      </c>
      <c r="I282" s="122">
        <f>F279*G282*H282</f>
        <v>1614.6000000000001</v>
      </c>
    </row>
    <row r="283" spans="2:9" ht="15.75" thickBot="1" x14ac:dyDescent="0.3">
      <c r="B283" s="742"/>
      <c r="C283" s="743"/>
      <c r="D283" s="753" t="s">
        <v>662</v>
      </c>
      <c r="E283" s="745"/>
      <c r="F283" s="155"/>
      <c r="G283" s="120"/>
      <c r="H283" s="120"/>
      <c r="I283" s="119">
        <f>F277/F278</f>
        <v>1093.75</v>
      </c>
    </row>
    <row r="284" spans="2:9" ht="15.75" thickTop="1" x14ac:dyDescent="0.25">
      <c r="B284" s="742"/>
      <c r="C284" s="743"/>
      <c r="D284" s="749" t="s">
        <v>167</v>
      </c>
      <c r="E284" s="750"/>
      <c r="F284" s="154"/>
      <c r="G284" s="120"/>
      <c r="H284" s="120"/>
      <c r="I284" s="156">
        <f>SUM(I280:I283)</f>
        <v>4793.435426484607</v>
      </c>
    </row>
    <row r="285" spans="2:9" ht="15.75" thickBot="1" x14ac:dyDescent="0.3">
      <c r="B285" s="721"/>
      <c r="C285" s="722"/>
      <c r="D285" s="723" t="s">
        <v>221</v>
      </c>
      <c r="E285" s="724"/>
      <c r="F285" s="157"/>
      <c r="G285" s="158"/>
      <c r="H285" s="159"/>
      <c r="I285" s="115">
        <f>(I284/F279)*0.05</f>
        <v>2.6630196813803373</v>
      </c>
    </row>
    <row r="286" spans="2:9" ht="15.75" thickBot="1" x14ac:dyDescent="0.3">
      <c r="B286" s="725"/>
      <c r="C286" s="726"/>
      <c r="D286" s="727" t="s">
        <v>41</v>
      </c>
      <c r="E286" s="728"/>
      <c r="F286" s="160"/>
      <c r="G286" s="129"/>
      <c r="H286" s="161"/>
      <c r="I286" s="131">
        <f>(I284/F279)+I285</f>
        <v>55.92341330898708</v>
      </c>
    </row>
    <row r="287" spans="2:9" ht="15.75" thickBot="1" x14ac:dyDescent="0.3">
      <c r="B287" s="132"/>
      <c r="C287" s="132"/>
      <c r="D287" s="133"/>
      <c r="E287" s="133"/>
      <c r="F287" s="162"/>
      <c r="G287" s="134"/>
      <c r="H287" s="134"/>
      <c r="I287" s="136"/>
    </row>
    <row r="288" spans="2:9" ht="15.75" thickBot="1" x14ac:dyDescent="0.3">
      <c r="B288" s="145" t="s">
        <v>6</v>
      </c>
      <c r="C288" s="729" t="s">
        <v>3</v>
      </c>
      <c r="D288" s="730"/>
      <c r="E288" s="730"/>
      <c r="F288" s="730"/>
      <c r="G288" s="730"/>
      <c r="H288" s="730"/>
      <c r="I288" s="731"/>
    </row>
    <row r="289" spans="2:9" ht="23.25" thickBot="1" x14ac:dyDescent="0.3">
      <c r="B289" s="732" t="s">
        <v>37</v>
      </c>
      <c r="C289" s="733"/>
      <c r="D289" s="734" t="s">
        <v>38</v>
      </c>
      <c r="E289" s="735"/>
      <c r="F289" s="146" t="s">
        <v>39</v>
      </c>
      <c r="G289" s="106" t="s">
        <v>40</v>
      </c>
      <c r="H289" s="106" t="s">
        <v>41</v>
      </c>
      <c r="I289" s="107" t="s">
        <v>42</v>
      </c>
    </row>
    <row r="290" spans="2:9" x14ac:dyDescent="0.25">
      <c r="B290" s="736" t="s">
        <v>48</v>
      </c>
      <c r="C290" s="737"/>
      <c r="D290" s="738" t="str">
        <f>CENIK_št_1!B64</f>
        <v>Unimog (razreda 1200, 1400, 1600)</v>
      </c>
      <c r="E290" s="739"/>
      <c r="F290" s="147">
        <v>25000</v>
      </c>
      <c r="G290" s="148"/>
      <c r="H290" s="148"/>
      <c r="I290" s="149"/>
    </row>
    <row r="291" spans="2:9" ht="15" customHeight="1" x14ac:dyDescent="0.25">
      <c r="B291" s="110"/>
      <c r="C291" s="111"/>
      <c r="D291" s="740" t="s">
        <v>223</v>
      </c>
      <c r="E291" s="741"/>
      <c r="F291" s="150">
        <v>24</v>
      </c>
      <c r="G291" s="151"/>
      <c r="H291" s="151"/>
      <c r="I291" s="152"/>
    </row>
    <row r="292" spans="2:9" x14ac:dyDescent="0.25">
      <c r="B292" s="110"/>
      <c r="C292" s="111"/>
      <c r="D292" s="740" t="s">
        <v>222</v>
      </c>
      <c r="E292" s="741"/>
      <c r="F292" s="150">
        <v>49</v>
      </c>
      <c r="G292" s="151"/>
      <c r="H292" s="151"/>
      <c r="I292" s="152"/>
    </row>
    <row r="293" spans="2:9" x14ac:dyDescent="0.25">
      <c r="B293" s="742"/>
      <c r="C293" s="743"/>
      <c r="D293" s="744" t="s">
        <v>218</v>
      </c>
      <c r="E293" s="745"/>
      <c r="F293" s="153"/>
      <c r="G293" s="120"/>
      <c r="H293" s="112">
        <f>H43</f>
        <v>18.077615849828966</v>
      </c>
      <c r="I293" s="113">
        <f>F292*H293</f>
        <v>885.8031766416193</v>
      </c>
    </row>
    <row r="294" spans="2:9" ht="24.75" customHeight="1" x14ac:dyDescent="0.25">
      <c r="B294" s="742"/>
      <c r="C294" s="743"/>
      <c r="D294" s="746" t="s">
        <v>225</v>
      </c>
      <c r="E294" s="747"/>
      <c r="F294" s="154"/>
      <c r="G294" s="120"/>
      <c r="H294" s="112">
        <f>8500/12/F292</f>
        <v>14.455782312925171</v>
      </c>
      <c r="I294" s="113">
        <f>F292*H294</f>
        <v>708.33333333333337</v>
      </c>
    </row>
    <row r="295" spans="2:9" ht="21" customHeight="1" x14ac:dyDescent="0.25">
      <c r="B295" s="742"/>
      <c r="C295" s="743"/>
      <c r="D295" s="748" t="s">
        <v>391</v>
      </c>
      <c r="E295" s="747"/>
      <c r="F295" s="154"/>
      <c r="G295" s="120">
        <f>35/100*45</f>
        <v>15.749999999999998</v>
      </c>
      <c r="H295" s="112">
        <v>1.56</v>
      </c>
      <c r="I295" s="122">
        <f>F292*G295*H295</f>
        <v>1203.9299999999998</v>
      </c>
    </row>
    <row r="296" spans="2:9" ht="15.75" thickBot="1" x14ac:dyDescent="0.3">
      <c r="B296" s="742"/>
      <c r="C296" s="743"/>
      <c r="D296" s="753" t="s">
        <v>664</v>
      </c>
      <c r="E296" s="745"/>
      <c r="F296" s="155"/>
      <c r="G296" s="120"/>
      <c r="H296" s="120"/>
      <c r="I296" s="119">
        <f>F290/F291</f>
        <v>1041.6666666666667</v>
      </c>
    </row>
    <row r="297" spans="2:9" ht="15.75" thickTop="1" x14ac:dyDescent="0.25">
      <c r="B297" s="742"/>
      <c r="C297" s="743"/>
      <c r="D297" s="749" t="s">
        <v>167</v>
      </c>
      <c r="E297" s="750"/>
      <c r="F297" s="154"/>
      <c r="G297" s="120"/>
      <c r="H297" s="120"/>
      <c r="I297" s="156">
        <f>SUM(I293:I296)</f>
        <v>3839.7331766416191</v>
      </c>
    </row>
    <row r="298" spans="2:9" ht="15.75" thickBot="1" x14ac:dyDescent="0.3">
      <c r="B298" s="721"/>
      <c r="C298" s="722"/>
      <c r="D298" s="723" t="s">
        <v>221</v>
      </c>
      <c r="E298" s="724"/>
      <c r="F298" s="157"/>
      <c r="G298" s="158"/>
      <c r="H298" s="159"/>
      <c r="I298" s="115">
        <f>(I297/F292)*0.05</f>
        <v>3.918095078205734</v>
      </c>
    </row>
    <row r="299" spans="2:9" ht="15.75" thickBot="1" x14ac:dyDescent="0.3">
      <c r="B299" s="725"/>
      <c r="C299" s="726"/>
      <c r="D299" s="727" t="s">
        <v>41</v>
      </c>
      <c r="E299" s="728"/>
      <c r="F299" s="160"/>
      <c r="G299" s="129"/>
      <c r="H299" s="161"/>
      <c r="I299" s="131">
        <f>(I297/F292)+I298</f>
        <v>82.279996642320413</v>
      </c>
    </row>
    <row r="300" spans="2:9" ht="15.75" thickBot="1" x14ac:dyDescent="0.3">
      <c r="B300" s="132"/>
      <c r="C300" s="132"/>
      <c r="D300" s="133"/>
      <c r="E300" s="133"/>
      <c r="F300" s="162"/>
      <c r="G300" s="134"/>
      <c r="H300" s="134"/>
      <c r="I300" s="136"/>
    </row>
    <row r="301" spans="2:9" ht="15.75" thickBot="1" x14ac:dyDescent="0.3">
      <c r="B301" s="48" t="s">
        <v>6</v>
      </c>
      <c r="C301" s="663" t="s">
        <v>3</v>
      </c>
      <c r="D301" s="664"/>
      <c r="E301" s="664"/>
      <c r="F301" s="664"/>
      <c r="G301" s="664"/>
      <c r="H301" s="664"/>
      <c r="I301" s="665"/>
    </row>
    <row r="302" spans="2:9" ht="34.5" customHeight="1" thickBot="1" x14ac:dyDescent="0.3">
      <c r="B302" s="755" t="s">
        <v>37</v>
      </c>
      <c r="C302" s="733"/>
      <c r="D302" s="800" t="s">
        <v>38</v>
      </c>
      <c r="E302" s="735"/>
      <c r="F302" s="205" t="s">
        <v>39</v>
      </c>
      <c r="G302" s="54" t="s">
        <v>40</v>
      </c>
      <c r="H302" s="54" t="s">
        <v>41</v>
      </c>
      <c r="I302" s="55" t="s">
        <v>42</v>
      </c>
    </row>
    <row r="303" spans="2:9" ht="18.75" customHeight="1" x14ac:dyDescent="0.25">
      <c r="B303" s="736" t="s">
        <v>50</v>
      </c>
      <c r="C303" s="757"/>
      <c r="D303" s="738" t="str">
        <f>[1]CENIK_št_1!B50</f>
        <v>Unimog (razreda U300, U500)</v>
      </c>
      <c r="E303" s="739"/>
      <c r="F303" s="206">
        <v>200000</v>
      </c>
      <c r="G303" s="207"/>
      <c r="H303" s="207"/>
      <c r="I303" s="208"/>
    </row>
    <row r="304" spans="2:9" ht="15" customHeight="1" x14ac:dyDescent="0.25">
      <c r="B304" s="60"/>
      <c r="C304" s="61"/>
      <c r="D304" s="793" t="s">
        <v>223</v>
      </c>
      <c r="E304" s="875"/>
      <c r="F304" s="209">
        <v>96</v>
      </c>
      <c r="G304" s="210"/>
      <c r="H304" s="210"/>
      <c r="I304" s="211"/>
    </row>
    <row r="305" spans="2:9" ht="15" customHeight="1" x14ac:dyDescent="0.25">
      <c r="B305" s="60"/>
      <c r="C305" s="61"/>
      <c r="D305" s="793" t="s">
        <v>222</v>
      </c>
      <c r="E305" s="875"/>
      <c r="F305" s="209">
        <v>90</v>
      </c>
      <c r="G305" s="210"/>
      <c r="H305" s="210"/>
      <c r="I305" s="211"/>
    </row>
    <row r="306" spans="2:9" x14ac:dyDescent="0.25">
      <c r="B306" s="822"/>
      <c r="C306" s="854"/>
      <c r="D306" s="753" t="s">
        <v>218</v>
      </c>
      <c r="E306" s="872"/>
      <c r="F306" s="212"/>
      <c r="G306" s="27"/>
      <c r="H306" s="28">
        <f>H43</f>
        <v>18.077615849828966</v>
      </c>
      <c r="I306" s="29">
        <f>F305*H306</f>
        <v>1626.9854264846069</v>
      </c>
    </row>
    <row r="307" spans="2:9" ht="27" customHeight="1" x14ac:dyDescent="0.25">
      <c r="B307" s="822"/>
      <c r="C307" s="854"/>
      <c r="D307" s="748" t="s">
        <v>225</v>
      </c>
      <c r="E307" s="869"/>
      <c r="F307" s="213"/>
      <c r="G307" s="27"/>
      <c r="H307" s="28">
        <f>9500/12/F305</f>
        <v>8.7962962962962958</v>
      </c>
      <c r="I307" s="29">
        <f>F305*H307</f>
        <v>791.66666666666663</v>
      </c>
    </row>
    <row r="308" spans="2:9" ht="17.25" customHeight="1" x14ac:dyDescent="0.25">
      <c r="B308" s="822"/>
      <c r="C308" s="854"/>
      <c r="D308" s="748" t="s">
        <v>391</v>
      </c>
      <c r="E308" s="869"/>
      <c r="F308" s="213"/>
      <c r="G308" s="27">
        <v>19</v>
      </c>
      <c r="H308" s="28">
        <v>1.56</v>
      </c>
      <c r="I308" s="165">
        <f>F305*G308*H308</f>
        <v>2667.6</v>
      </c>
    </row>
    <row r="309" spans="2:9" ht="15.75" thickBot="1" x14ac:dyDescent="0.3">
      <c r="B309" s="822"/>
      <c r="C309" s="854"/>
      <c r="D309" s="753" t="s">
        <v>174</v>
      </c>
      <c r="E309" s="872"/>
      <c r="F309" s="214"/>
      <c r="G309" s="27"/>
      <c r="H309" s="27"/>
      <c r="I309" s="30">
        <f>F303/F304</f>
        <v>2083.3333333333335</v>
      </c>
    </row>
    <row r="310" spans="2:9" ht="15.75" thickTop="1" x14ac:dyDescent="0.25">
      <c r="B310" s="822"/>
      <c r="C310" s="854"/>
      <c r="D310" s="870" t="s">
        <v>167</v>
      </c>
      <c r="E310" s="871"/>
      <c r="F310" s="213"/>
      <c r="G310" s="27"/>
      <c r="H310" s="27"/>
      <c r="I310" s="215">
        <f>SUM(I306:I309)</f>
        <v>7169.5854264846075</v>
      </c>
    </row>
    <row r="311" spans="2:9" ht="15.75" thickBot="1" x14ac:dyDescent="0.3">
      <c r="B311" s="768"/>
      <c r="C311" s="769"/>
      <c r="D311" s="770" t="s">
        <v>221</v>
      </c>
      <c r="E311" s="771"/>
      <c r="F311" s="216"/>
      <c r="G311" s="32"/>
      <c r="H311" s="217"/>
      <c r="I311" s="33">
        <f>(I310/F305)*0.05</f>
        <v>3.983103014713671</v>
      </c>
    </row>
    <row r="312" spans="2:9" ht="15.75" thickBot="1" x14ac:dyDescent="0.3">
      <c r="B312" s="772"/>
      <c r="C312" s="773"/>
      <c r="D312" s="754" t="s">
        <v>41</v>
      </c>
      <c r="E312" s="774"/>
      <c r="F312" s="218"/>
      <c r="G312" s="26"/>
      <c r="H312" s="219"/>
      <c r="I312" s="56">
        <f>(I310/F305)+I311</f>
        <v>83.645163308987094</v>
      </c>
    </row>
    <row r="313" spans="2:9" x14ac:dyDescent="0.25">
      <c r="B313" s="132"/>
      <c r="C313" s="132"/>
      <c r="D313" s="133"/>
      <c r="E313" s="133"/>
      <c r="F313" s="162"/>
      <c r="G313" s="134"/>
      <c r="H313" s="134"/>
      <c r="I313" s="136"/>
    </row>
    <row r="314" spans="2:9" ht="15.75" thickBot="1" x14ac:dyDescent="0.3"/>
    <row r="315" spans="2:9" ht="15.75" thickBot="1" x14ac:dyDescent="0.3">
      <c r="B315" s="145" t="s">
        <v>6</v>
      </c>
      <c r="C315" s="729" t="s">
        <v>3</v>
      </c>
      <c r="D315" s="730"/>
      <c r="E315" s="730"/>
      <c r="F315" s="730"/>
      <c r="G315" s="730"/>
      <c r="H315" s="730"/>
      <c r="I315" s="731"/>
    </row>
    <row r="316" spans="2:9" ht="23.25" thickBot="1" x14ac:dyDescent="0.3">
      <c r="B316" s="732" t="s">
        <v>37</v>
      </c>
      <c r="C316" s="733"/>
      <c r="D316" s="734" t="s">
        <v>38</v>
      </c>
      <c r="E316" s="735"/>
      <c r="F316" s="146" t="s">
        <v>39</v>
      </c>
      <c r="G316" s="106" t="s">
        <v>40</v>
      </c>
      <c r="H316" s="106" t="s">
        <v>41</v>
      </c>
      <c r="I316" s="107" t="s">
        <v>42</v>
      </c>
    </row>
    <row r="317" spans="2:9" x14ac:dyDescent="0.25">
      <c r="B317" s="736" t="s">
        <v>497</v>
      </c>
      <c r="C317" s="737"/>
      <c r="D317" s="738" t="str">
        <f>CENIK_št_1!B66</f>
        <v>Traktor [do 50kW]</v>
      </c>
      <c r="E317" s="739"/>
      <c r="F317" s="147">
        <v>50000</v>
      </c>
      <c r="G317" s="148"/>
      <c r="H317" s="148"/>
      <c r="I317" s="149"/>
    </row>
    <row r="318" spans="2:9" ht="15" customHeight="1" x14ac:dyDescent="0.25">
      <c r="B318" s="110"/>
      <c r="C318" s="111"/>
      <c r="D318" s="740" t="s">
        <v>223</v>
      </c>
      <c r="E318" s="741"/>
      <c r="F318" s="150">
        <v>96</v>
      </c>
      <c r="G318" s="151"/>
      <c r="H318" s="151"/>
      <c r="I318" s="152"/>
    </row>
    <row r="319" spans="2:9" x14ac:dyDescent="0.25">
      <c r="B319" s="110"/>
      <c r="C319" s="111"/>
      <c r="D319" s="740" t="s">
        <v>222</v>
      </c>
      <c r="E319" s="741"/>
      <c r="F319" s="150">
        <v>80</v>
      </c>
      <c r="G319" s="151"/>
      <c r="H319" s="151"/>
      <c r="I319" s="152"/>
    </row>
    <row r="320" spans="2:9" x14ac:dyDescent="0.25">
      <c r="B320" s="742"/>
      <c r="C320" s="743"/>
      <c r="D320" s="744" t="s">
        <v>218</v>
      </c>
      <c r="E320" s="745"/>
      <c r="F320" s="153"/>
      <c r="G320" s="120"/>
      <c r="H320" s="112">
        <f>H43</f>
        <v>18.077615849828966</v>
      </c>
      <c r="I320" s="113">
        <f>F319*H320</f>
        <v>1446.2092679863172</v>
      </c>
    </row>
    <row r="321" spans="2:9" ht="25.5" customHeight="1" x14ac:dyDescent="0.25">
      <c r="B321" s="742"/>
      <c r="C321" s="743"/>
      <c r="D321" s="746" t="s">
        <v>225</v>
      </c>
      <c r="E321" s="747"/>
      <c r="F321" s="154"/>
      <c r="G321" s="120"/>
      <c r="H321" s="112">
        <f>2000/12/F319</f>
        <v>2.083333333333333</v>
      </c>
      <c r="I321" s="113">
        <f>F319*H321</f>
        <v>166.66666666666663</v>
      </c>
    </row>
    <row r="322" spans="2:9" ht="24.75" customHeight="1" x14ac:dyDescent="0.25">
      <c r="B322" s="742"/>
      <c r="C322" s="743"/>
      <c r="D322" s="753" t="s">
        <v>393</v>
      </c>
      <c r="E322" s="745"/>
      <c r="F322" s="154"/>
      <c r="G322" s="178">
        <v>8</v>
      </c>
      <c r="H322" s="179">
        <v>1.56</v>
      </c>
      <c r="I322" s="122">
        <f>F319*G322*H322</f>
        <v>998.40000000000009</v>
      </c>
    </row>
    <row r="323" spans="2:9" ht="15.75" thickBot="1" x14ac:dyDescent="0.3">
      <c r="B323" s="742"/>
      <c r="C323" s="743"/>
      <c r="D323" s="753" t="s">
        <v>662</v>
      </c>
      <c r="E323" s="745"/>
      <c r="F323" s="155"/>
      <c r="G323" s="120"/>
      <c r="H323" s="120"/>
      <c r="I323" s="119">
        <f>F317/F318</f>
        <v>520.83333333333337</v>
      </c>
    </row>
    <row r="324" spans="2:9" ht="15.75" thickTop="1" x14ac:dyDescent="0.25">
      <c r="B324" s="742"/>
      <c r="C324" s="743"/>
      <c r="D324" s="870" t="s">
        <v>167</v>
      </c>
      <c r="E324" s="750"/>
      <c r="F324" s="154"/>
      <c r="G324" s="120"/>
      <c r="H324" s="120"/>
      <c r="I324" s="156">
        <f>SUM(I320:I323)</f>
        <v>3132.1092679863173</v>
      </c>
    </row>
    <row r="325" spans="2:9" ht="15.75" thickBot="1" x14ac:dyDescent="0.3">
      <c r="B325" s="721"/>
      <c r="C325" s="722"/>
      <c r="D325" s="723" t="s">
        <v>221</v>
      </c>
      <c r="E325" s="724"/>
      <c r="F325" s="157"/>
      <c r="G325" s="158"/>
      <c r="H325" s="159"/>
      <c r="I325" s="115">
        <f>(I324/F319)*0.05</f>
        <v>1.9575682924914481</v>
      </c>
    </row>
    <row r="326" spans="2:9" ht="15.75" thickBot="1" x14ac:dyDescent="0.3">
      <c r="B326" s="725"/>
      <c r="C326" s="726"/>
      <c r="D326" s="727" t="s">
        <v>41</v>
      </c>
      <c r="E326" s="728"/>
      <c r="F326" s="160"/>
      <c r="G326" s="129"/>
      <c r="H326" s="161"/>
      <c r="I326" s="131">
        <f>(I324/F319)+I325</f>
        <v>41.108934142320408</v>
      </c>
    </row>
    <row r="327" spans="2:9" ht="15.75" thickBot="1" x14ac:dyDescent="0.3">
      <c r="B327" s="132"/>
      <c r="C327" s="132"/>
      <c r="D327" s="133"/>
      <c r="E327" s="133"/>
      <c r="F327" s="162"/>
      <c r="G327" s="134"/>
      <c r="H327" s="134"/>
      <c r="I327" s="136"/>
    </row>
    <row r="328" spans="2:9" ht="15.75" thickBot="1" x14ac:dyDescent="0.3">
      <c r="B328" s="145" t="s">
        <v>6</v>
      </c>
      <c r="C328" s="729" t="s">
        <v>3</v>
      </c>
      <c r="D328" s="730"/>
      <c r="E328" s="730"/>
      <c r="F328" s="730"/>
      <c r="G328" s="730"/>
      <c r="H328" s="730"/>
      <c r="I328" s="731"/>
    </row>
    <row r="329" spans="2:9" ht="23.25" thickBot="1" x14ac:dyDescent="0.3">
      <c r="B329" s="732" t="s">
        <v>37</v>
      </c>
      <c r="C329" s="733"/>
      <c r="D329" s="734" t="s">
        <v>38</v>
      </c>
      <c r="E329" s="735"/>
      <c r="F329" s="146" t="s">
        <v>39</v>
      </c>
      <c r="G329" s="106" t="s">
        <v>40</v>
      </c>
      <c r="H329" s="106" t="s">
        <v>41</v>
      </c>
      <c r="I329" s="107" t="s">
        <v>42</v>
      </c>
    </row>
    <row r="330" spans="2:9" x14ac:dyDescent="0.25">
      <c r="B330" s="736" t="s">
        <v>539</v>
      </c>
      <c r="C330" s="737"/>
      <c r="D330" s="738" t="str">
        <f>CENIK_št_1!B67</f>
        <v>Traktor [ 50 - 70 kW]</v>
      </c>
      <c r="E330" s="739"/>
      <c r="F330" s="147">
        <v>75000</v>
      </c>
      <c r="G330" s="148"/>
      <c r="H330" s="148"/>
      <c r="I330" s="149"/>
    </row>
    <row r="331" spans="2:9" ht="15" customHeight="1" x14ac:dyDescent="0.25">
      <c r="B331" s="110"/>
      <c r="C331" s="111"/>
      <c r="D331" s="740" t="s">
        <v>223</v>
      </c>
      <c r="E331" s="741"/>
      <c r="F331" s="150">
        <v>96</v>
      </c>
      <c r="G331" s="151"/>
      <c r="H331" s="151"/>
      <c r="I331" s="152"/>
    </row>
    <row r="332" spans="2:9" x14ac:dyDescent="0.25">
      <c r="B332" s="110"/>
      <c r="C332" s="111"/>
      <c r="D332" s="740" t="s">
        <v>222</v>
      </c>
      <c r="E332" s="741"/>
      <c r="F332" s="150">
        <v>100</v>
      </c>
      <c r="G332" s="151"/>
      <c r="H332" s="151"/>
      <c r="I332" s="152"/>
    </row>
    <row r="333" spans="2:9" x14ac:dyDescent="0.25">
      <c r="B333" s="742"/>
      <c r="C333" s="743"/>
      <c r="D333" s="744" t="s">
        <v>218</v>
      </c>
      <c r="E333" s="745"/>
      <c r="F333" s="153"/>
      <c r="G333" s="120"/>
      <c r="H333" s="112">
        <f>H43</f>
        <v>18.077615849828966</v>
      </c>
      <c r="I333" s="113">
        <f>F332*H333</f>
        <v>1807.7615849828967</v>
      </c>
    </row>
    <row r="334" spans="2:9" ht="24" customHeight="1" x14ac:dyDescent="0.25">
      <c r="B334" s="742"/>
      <c r="C334" s="743"/>
      <c r="D334" s="746" t="s">
        <v>225</v>
      </c>
      <c r="E334" s="747"/>
      <c r="F334" s="154"/>
      <c r="G334" s="120"/>
      <c r="H334" s="112">
        <f>2250/12/F332</f>
        <v>1.875</v>
      </c>
      <c r="I334" s="113">
        <f>F332*H334</f>
        <v>187.5</v>
      </c>
    </row>
    <row r="335" spans="2:9" ht="24.75" customHeight="1" x14ac:dyDescent="0.25">
      <c r="B335" s="742"/>
      <c r="C335" s="743"/>
      <c r="D335" s="753" t="s">
        <v>359</v>
      </c>
      <c r="E335" s="745"/>
      <c r="F335" s="154"/>
      <c r="G335" s="178">
        <v>10</v>
      </c>
      <c r="H335" s="179">
        <v>1.56</v>
      </c>
      <c r="I335" s="122">
        <f>F332*G335*H335</f>
        <v>1560</v>
      </c>
    </row>
    <row r="336" spans="2:9" ht="15.75" thickBot="1" x14ac:dyDescent="0.3">
      <c r="B336" s="742"/>
      <c r="C336" s="743"/>
      <c r="D336" s="753" t="s">
        <v>662</v>
      </c>
      <c r="E336" s="745"/>
      <c r="F336" s="155"/>
      <c r="G336" s="120"/>
      <c r="H336" s="120"/>
      <c r="I336" s="119">
        <f>F330/F331</f>
        <v>781.25</v>
      </c>
    </row>
    <row r="337" spans="2:9" ht="15.75" thickTop="1" x14ac:dyDescent="0.25">
      <c r="B337" s="742"/>
      <c r="C337" s="743"/>
      <c r="D337" s="749" t="s">
        <v>167</v>
      </c>
      <c r="E337" s="750"/>
      <c r="F337" s="154"/>
      <c r="G337" s="120"/>
      <c r="H337" s="120"/>
      <c r="I337" s="156">
        <f>SUM(I333:I336)</f>
        <v>4336.5115849828962</v>
      </c>
    </row>
    <row r="338" spans="2:9" ht="15.75" thickBot="1" x14ac:dyDescent="0.3">
      <c r="B338" s="721"/>
      <c r="C338" s="722"/>
      <c r="D338" s="723" t="s">
        <v>221</v>
      </c>
      <c r="E338" s="724"/>
      <c r="F338" s="157"/>
      <c r="G338" s="158"/>
      <c r="H338" s="159"/>
      <c r="I338" s="115">
        <f>(I337/F332)*0.05</f>
        <v>2.1682557924914483</v>
      </c>
    </row>
    <row r="339" spans="2:9" ht="15.75" thickBot="1" x14ac:dyDescent="0.3">
      <c r="B339" s="725"/>
      <c r="C339" s="726"/>
      <c r="D339" s="727" t="s">
        <v>41</v>
      </c>
      <c r="E339" s="728"/>
      <c r="F339" s="160"/>
      <c r="G339" s="129"/>
      <c r="H339" s="161"/>
      <c r="I339" s="131">
        <f>(I337/F332)+I338</f>
        <v>45.533371642320411</v>
      </c>
    </row>
    <row r="340" spans="2:9" ht="15.75" thickBot="1" x14ac:dyDescent="0.3">
      <c r="B340" s="132"/>
      <c r="C340" s="132"/>
      <c r="D340" s="133"/>
      <c r="E340" s="133"/>
      <c r="F340" s="162"/>
      <c r="G340" s="134"/>
      <c r="H340" s="134"/>
      <c r="I340" s="136"/>
    </row>
    <row r="341" spans="2:9" ht="15.75" thickBot="1" x14ac:dyDescent="0.3">
      <c r="B341" s="145" t="s">
        <v>6</v>
      </c>
      <c r="C341" s="729" t="s">
        <v>3</v>
      </c>
      <c r="D341" s="730"/>
      <c r="E341" s="730"/>
      <c r="F341" s="730"/>
      <c r="G341" s="730"/>
      <c r="H341" s="730"/>
      <c r="I341" s="731"/>
    </row>
    <row r="342" spans="2:9" ht="23.25" thickBot="1" x14ac:dyDescent="0.3">
      <c r="B342" s="732" t="s">
        <v>37</v>
      </c>
      <c r="C342" s="733"/>
      <c r="D342" s="734" t="s">
        <v>38</v>
      </c>
      <c r="E342" s="735"/>
      <c r="F342" s="146" t="s">
        <v>39</v>
      </c>
      <c r="G342" s="106" t="s">
        <v>40</v>
      </c>
      <c r="H342" s="106" t="s">
        <v>41</v>
      </c>
      <c r="I342" s="107" t="s">
        <v>42</v>
      </c>
    </row>
    <row r="343" spans="2:9" x14ac:dyDescent="0.25">
      <c r="B343" s="736" t="s">
        <v>88</v>
      </c>
      <c r="C343" s="737"/>
      <c r="D343" s="738" t="str">
        <f>CENIK_št_1!B68</f>
        <v>Traktor [ 70 kW - 90 kW]</v>
      </c>
      <c r="E343" s="739"/>
      <c r="F343" s="147">
        <v>80000</v>
      </c>
      <c r="G343" s="148"/>
      <c r="H343" s="148"/>
      <c r="I343" s="149"/>
    </row>
    <row r="344" spans="2:9" ht="15" customHeight="1" x14ac:dyDescent="0.25">
      <c r="B344" s="110"/>
      <c r="C344" s="111"/>
      <c r="D344" s="793" t="s">
        <v>227</v>
      </c>
      <c r="E344" s="741"/>
      <c r="F344" s="150">
        <v>96</v>
      </c>
      <c r="G344" s="151"/>
      <c r="H344" s="151"/>
      <c r="I344" s="152"/>
    </row>
    <row r="345" spans="2:9" x14ac:dyDescent="0.25">
      <c r="B345" s="110"/>
      <c r="C345" s="111"/>
      <c r="D345" s="740" t="s">
        <v>222</v>
      </c>
      <c r="E345" s="741"/>
      <c r="F345" s="150">
        <v>100</v>
      </c>
      <c r="G345" s="151"/>
      <c r="H345" s="151"/>
      <c r="I345" s="152"/>
    </row>
    <row r="346" spans="2:9" x14ac:dyDescent="0.25">
      <c r="B346" s="742"/>
      <c r="C346" s="743"/>
      <c r="D346" s="744" t="s">
        <v>218</v>
      </c>
      <c r="E346" s="745"/>
      <c r="F346" s="153"/>
      <c r="G346" s="120"/>
      <c r="H346" s="112">
        <f>H43</f>
        <v>18.077615849828966</v>
      </c>
      <c r="I346" s="113">
        <f>F345*H346</f>
        <v>1807.7615849828967</v>
      </c>
    </row>
    <row r="347" spans="2:9" ht="24.75" customHeight="1" x14ac:dyDescent="0.25">
      <c r="B347" s="742"/>
      <c r="C347" s="743"/>
      <c r="D347" s="746" t="s">
        <v>225</v>
      </c>
      <c r="E347" s="747"/>
      <c r="F347" s="154"/>
      <c r="G347" s="120"/>
      <c r="H347" s="112">
        <f>2500/12/F345</f>
        <v>2.0833333333333335</v>
      </c>
      <c r="I347" s="113">
        <f>F345*H347</f>
        <v>208.33333333333334</v>
      </c>
    </row>
    <row r="348" spans="2:9" ht="24.75" customHeight="1" x14ac:dyDescent="0.25">
      <c r="B348" s="742"/>
      <c r="C348" s="743"/>
      <c r="D348" s="753" t="s">
        <v>359</v>
      </c>
      <c r="E348" s="745"/>
      <c r="F348" s="154"/>
      <c r="G348" s="120">
        <v>12</v>
      </c>
      <c r="H348" s="112">
        <v>1.56</v>
      </c>
      <c r="I348" s="122">
        <f>F345*G348*H348</f>
        <v>1872</v>
      </c>
    </row>
    <row r="349" spans="2:9" ht="15.75" thickBot="1" x14ac:dyDescent="0.3">
      <c r="B349" s="742"/>
      <c r="C349" s="743"/>
      <c r="D349" s="753" t="s">
        <v>662</v>
      </c>
      <c r="E349" s="745"/>
      <c r="F349" s="155"/>
      <c r="G349" s="120"/>
      <c r="H349" s="120"/>
      <c r="I349" s="119">
        <f>F343/F344</f>
        <v>833.33333333333337</v>
      </c>
    </row>
    <row r="350" spans="2:9" ht="15.75" thickTop="1" x14ac:dyDescent="0.25">
      <c r="B350" s="742"/>
      <c r="C350" s="743"/>
      <c r="D350" s="749" t="s">
        <v>167</v>
      </c>
      <c r="E350" s="750"/>
      <c r="F350" s="154"/>
      <c r="G350" s="120"/>
      <c r="H350" s="120"/>
      <c r="I350" s="156">
        <f>SUM(I346:I349)</f>
        <v>4721.4282516495632</v>
      </c>
    </row>
    <row r="351" spans="2:9" ht="15.75" thickBot="1" x14ac:dyDescent="0.3">
      <c r="B351" s="721"/>
      <c r="C351" s="722"/>
      <c r="D351" s="723" t="s">
        <v>221</v>
      </c>
      <c r="E351" s="724"/>
      <c r="F351" s="157"/>
      <c r="G351" s="158"/>
      <c r="H351" s="159"/>
      <c r="I351" s="115">
        <f>(I350/F345)*0.05</f>
        <v>2.3607141258247815</v>
      </c>
    </row>
    <row r="352" spans="2:9" ht="15.75" thickBot="1" x14ac:dyDescent="0.3">
      <c r="B352" s="725"/>
      <c r="C352" s="726"/>
      <c r="D352" s="727" t="s">
        <v>41</v>
      </c>
      <c r="E352" s="728"/>
      <c r="F352" s="160"/>
      <c r="G352" s="129"/>
      <c r="H352" s="161"/>
      <c r="I352" s="131">
        <f>(I350/F345)+I351</f>
        <v>49.574996642320414</v>
      </c>
    </row>
    <row r="353" spans="1:9" ht="15.75" thickBot="1" x14ac:dyDescent="0.3">
      <c r="B353" s="132"/>
      <c r="C353" s="132"/>
      <c r="D353" s="133"/>
      <c r="E353" s="133"/>
      <c r="F353" s="162"/>
      <c r="G353" s="134"/>
      <c r="H353" s="134"/>
      <c r="I353" s="136"/>
    </row>
    <row r="354" spans="1:9" ht="15.75" thickBot="1" x14ac:dyDescent="0.3">
      <c r="B354" s="145" t="s">
        <v>6</v>
      </c>
      <c r="C354" s="729" t="s">
        <v>3</v>
      </c>
      <c r="D354" s="730"/>
      <c r="E354" s="730"/>
      <c r="F354" s="730"/>
      <c r="G354" s="730"/>
      <c r="H354" s="730"/>
      <c r="I354" s="731"/>
    </row>
    <row r="355" spans="1:9" ht="23.25" thickBot="1" x14ac:dyDescent="0.3">
      <c r="B355" s="732" t="s">
        <v>37</v>
      </c>
      <c r="C355" s="733"/>
      <c r="D355" s="734" t="s">
        <v>38</v>
      </c>
      <c r="E355" s="735"/>
      <c r="F355" s="146" t="s">
        <v>39</v>
      </c>
      <c r="G355" s="106" t="s">
        <v>40</v>
      </c>
      <c r="H355" s="106" t="s">
        <v>41</v>
      </c>
      <c r="I355" s="107" t="s">
        <v>42</v>
      </c>
    </row>
    <row r="356" spans="1:9" x14ac:dyDescent="0.25">
      <c r="B356" s="736" t="s">
        <v>89</v>
      </c>
      <c r="C356" s="737"/>
      <c r="D356" s="738" t="str">
        <f>CENIK_št_1!B69</f>
        <v>Traktor [nad 90 kW]</v>
      </c>
      <c r="E356" s="739"/>
      <c r="F356" s="147">
        <v>90000</v>
      </c>
      <c r="G356" s="148"/>
      <c r="H356" s="148"/>
      <c r="I356" s="149"/>
    </row>
    <row r="357" spans="1:9" x14ac:dyDescent="0.25">
      <c r="B357" s="110"/>
      <c r="C357" s="111"/>
      <c r="D357" s="740" t="s">
        <v>223</v>
      </c>
      <c r="E357" s="741"/>
      <c r="F357" s="150">
        <v>96</v>
      </c>
      <c r="G357" s="151"/>
      <c r="H357" s="151"/>
      <c r="I357" s="152"/>
    </row>
    <row r="358" spans="1:9" x14ac:dyDescent="0.25">
      <c r="B358" s="110"/>
      <c r="C358" s="111"/>
      <c r="D358" s="740" t="s">
        <v>222</v>
      </c>
      <c r="E358" s="741"/>
      <c r="F358" s="150">
        <v>100</v>
      </c>
      <c r="G358" s="151"/>
      <c r="H358" s="151"/>
      <c r="I358" s="152"/>
    </row>
    <row r="359" spans="1:9" x14ac:dyDescent="0.25">
      <c r="B359" s="742"/>
      <c r="C359" s="743"/>
      <c r="D359" s="744" t="s">
        <v>218</v>
      </c>
      <c r="E359" s="745"/>
      <c r="F359" s="153"/>
      <c r="G359" s="120"/>
      <c r="H359" s="112">
        <f>H56</f>
        <v>21.794849256704982</v>
      </c>
      <c r="I359" s="113">
        <f>F358*H359</f>
        <v>2179.4849256704983</v>
      </c>
    </row>
    <row r="360" spans="1:9" x14ac:dyDescent="0.25">
      <c r="B360" s="742"/>
      <c r="C360" s="743"/>
      <c r="D360" s="746" t="s">
        <v>225</v>
      </c>
      <c r="E360" s="747"/>
      <c r="F360" s="154"/>
      <c r="G360" s="120"/>
      <c r="H360" s="112">
        <v>2.2000000000000002</v>
      </c>
      <c r="I360" s="113">
        <f>F358*H360</f>
        <v>220.00000000000003</v>
      </c>
    </row>
    <row r="361" spans="1:9" x14ac:dyDescent="0.25">
      <c r="B361" s="742"/>
      <c r="C361" s="743"/>
      <c r="D361" s="753" t="s">
        <v>359</v>
      </c>
      <c r="E361" s="745"/>
      <c r="F361" s="154"/>
      <c r="G361" s="120">
        <v>14</v>
      </c>
      <c r="H361" s="112">
        <v>1.56</v>
      </c>
      <c r="I361" s="122">
        <f>F358*G361*H361</f>
        <v>2184</v>
      </c>
    </row>
    <row r="362" spans="1:9" ht="15.75" thickBot="1" x14ac:dyDescent="0.3">
      <c r="B362" s="742"/>
      <c r="C362" s="743"/>
      <c r="D362" s="753" t="s">
        <v>662</v>
      </c>
      <c r="E362" s="745"/>
      <c r="F362" s="155"/>
      <c r="G362" s="120"/>
      <c r="H362" s="120"/>
      <c r="I362" s="119">
        <f>F356/F357</f>
        <v>937.5</v>
      </c>
    </row>
    <row r="363" spans="1:9" ht="15.75" thickTop="1" x14ac:dyDescent="0.25">
      <c r="B363" s="742"/>
      <c r="C363" s="743"/>
      <c r="D363" s="749" t="s">
        <v>167</v>
      </c>
      <c r="E363" s="750"/>
      <c r="F363" s="154"/>
      <c r="G363" s="120"/>
      <c r="H363" s="120"/>
      <c r="I363" s="156">
        <f>SUM(I359:I362)</f>
        <v>5520.9849256704983</v>
      </c>
    </row>
    <row r="364" spans="1:9" ht="15.75" thickBot="1" x14ac:dyDescent="0.3">
      <c r="B364" s="721"/>
      <c r="C364" s="722"/>
      <c r="D364" s="723" t="s">
        <v>221</v>
      </c>
      <c r="E364" s="724"/>
      <c r="F364" s="157"/>
      <c r="G364" s="158"/>
      <c r="H364" s="159"/>
      <c r="I364" s="115">
        <f>(I363/F358)*0.05</f>
        <v>2.7604924628352494</v>
      </c>
    </row>
    <row r="365" spans="1:9" ht="15.75" thickBot="1" x14ac:dyDescent="0.3">
      <c r="B365" s="725"/>
      <c r="C365" s="726"/>
      <c r="D365" s="727" t="s">
        <v>41</v>
      </c>
      <c r="E365" s="728"/>
      <c r="F365" s="160"/>
      <c r="G365" s="129"/>
      <c r="H365" s="161"/>
      <c r="I365" s="131">
        <f>(I363/F358)+I364</f>
        <v>57.970341719540237</v>
      </c>
    </row>
    <row r="366" spans="1:9" ht="15.75" thickBot="1" x14ac:dyDescent="0.3">
      <c r="A366" s="144"/>
      <c r="B366" s="349"/>
      <c r="C366" s="349"/>
      <c r="D366" s="350"/>
      <c r="E366" s="350"/>
      <c r="F366" s="351"/>
      <c r="G366" s="352"/>
      <c r="H366" s="352"/>
      <c r="I366" s="353"/>
    </row>
    <row r="367" spans="1:9" ht="16.5" thickTop="1" thickBot="1" x14ac:dyDescent="0.3"/>
    <row r="368" spans="1:9" ht="27" customHeight="1" thickBot="1" x14ac:dyDescent="0.3">
      <c r="B368" s="145" t="s">
        <v>9</v>
      </c>
      <c r="C368" s="729" t="s">
        <v>7</v>
      </c>
      <c r="D368" s="730"/>
      <c r="E368" s="730"/>
      <c r="F368" s="730"/>
      <c r="G368" s="730"/>
      <c r="H368" s="730"/>
      <c r="I368" s="731"/>
    </row>
    <row r="369" spans="2:9" ht="23.25" thickBot="1" x14ac:dyDescent="0.3">
      <c r="B369" s="732" t="s">
        <v>37</v>
      </c>
      <c r="C369" s="733"/>
      <c r="D369" s="734" t="s">
        <v>38</v>
      </c>
      <c r="E369" s="735"/>
      <c r="F369" s="146" t="s">
        <v>39</v>
      </c>
      <c r="G369" s="106" t="s">
        <v>40</v>
      </c>
      <c r="H369" s="106" t="s">
        <v>41</v>
      </c>
      <c r="I369" s="107" t="s">
        <v>42</v>
      </c>
    </row>
    <row r="370" spans="2:9" x14ac:dyDescent="0.25">
      <c r="B370" s="736" t="s">
        <v>52</v>
      </c>
      <c r="C370" s="737"/>
      <c r="D370" s="738" t="str">
        <f>CENIK_št_1!B76</f>
        <v xml:space="preserve">Nakladalec z žlico do 1 m3 </v>
      </c>
      <c r="E370" s="739"/>
      <c r="F370" s="147">
        <v>95000</v>
      </c>
      <c r="G370" s="148"/>
      <c r="H370" s="148"/>
      <c r="I370" s="149"/>
    </row>
    <row r="371" spans="2:9" ht="15" customHeight="1" x14ac:dyDescent="0.25">
      <c r="B371" s="110"/>
      <c r="C371" s="111"/>
      <c r="D371" s="740" t="s">
        <v>223</v>
      </c>
      <c r="E371" s="741"/>
      <c r="F371" s="150">
        <v>96</v>
      </c>
      <c r="G371" s="151"/>
      <c r="H371" s="151"/>
      <c r="I371" s="152"/>
    </row>
    <row r="372" spans="2:9" x14ac:dyDescent="0.25">
      <c r="B372" s="110"/>
      <c r="C372" s="111"/>
      <c r="D372" s="740" t="s">
        <v>222</v>
      </c>
      <c r="E372" s="741"/>
      <c r="F372" s="150">
        <v>100</v>
      </c>
      <c r="G372" s="151"/>
      <c r="H372" s="151"/>
      <c r="I372" s="152"/>
    </row>
    <row r="373" spans="2:9" x14ac:dyDescent="0.25">
      <c r="B373" s="742"/>
      <c r="C373" s="743"/>
      <c r="D373" s="744" t="s">
        <v>218</v>
      </c>
      <c r="E373" s="745"/>
      <c r="F373" s="153" t="s">
        <v>227</v>
      </c>
      <c r="G373" s="120"/>
      <c r="H373" s="112">
        <f>H43</f>
        <v>18.077615849828966</v>
      </c>
      <c r="I373" s="113">
        <f>F372*H373</f>
        <v>1807.7615849828967</v>
      </c>
    </row>
    <row r="374" spans="2:9" ht="24" customHeight="1" x14ac:dyDescent="0.25">
      <c r="B374" s="742"/>
      <c r="C374" s="743"/>
      <c r="D374" s="746" t="s">
        <v>226</v>
      </c>
      <c r="E374" s="747"/>
      <c r="F374" s="154"/>
      <c r="G374" s="120"/>
      <c r="H374" s="112">
        <f>2250/12/F372</f>
        <v>1.875</v>
      </c>
      <c r="I374" s="113">
        <f>F372*H374</f>
        <v>187.5</v>
      </c>
    </row>
    <row r="375" spans="2:9" ht="24.75" customHeight="1" x14ac:dyDescent="0.25">
      <c r="B375" s="742"/>
      <c r="C375" s="743"/>
      <c r="D375" s="753" t="s">
        <v>359</v>
      </c>
      <c r="E375" s="745"/>
      <c r="F375" s="154"/>
      <c r="G375" s="120">
        <v>8.5</v>
      </c>
      <c r="H375" s="112">
        <v>1.56</v>
      </c>
      <c r="I375" s="122">
        <f>F372*G375*H375</f>
        <v>1326</v>
      </c>
    </row>
    <row r="376" spans="2:9" ht="15.75" thickBot="1" x14ac:dyDescent="0.3">
      <c r="B376" s="742"/>
      <c r="C376" s="743"/>
      <c r="D376" s="753" t="s">
        <v>664</v>
      </c>
      <c r="E376" s="745"/>
      <c r="F376" s="155"/>
      <c r="G376" s="120"/>
      <c r="H376" s="120"/>
      <c r="I376" s="119">
        <f>F370/F371</f>
        <v>989.58333333333337</v>
      </c>
    </row>
    <row r="377" spans="2:9" ht="15.75" thickTop="1" x14ac:dyDescent="0.25">
      <c r="B377" s="742"/>
      <c r="C377" s="743"/>
      <c r="D377" s="749" t="s">
        <v>167</v>
      </c>
      <c r="E377" s="750"/>
      <c r="F377" s="154"/>
      <c r="G377" s="120"/>
      <c r="H377" s="120"/>
      <c r="I377" s="156">
        <f>SUM(I373:I376)</f>
        <v>4310.8449183162302</v>
      </c>
    </row>
    <row r="378" spans="2:9" ht="15.75" thickBot="1" x14ac:dyDescent="0.3">
      <c r="B378" s="721"/>
      <c r="C378" s="722"/>
      <c r="D378" s="723" t="s">
        <v>221</v>
      </c>
      <c r="E378" s="724"/>
      <c r="F378" s="157"/>
      <c r="G378" s="158"/>
      <c r="H378" s="159"/>
      <c r="I378" s="115">
        <f>(I377/F372)*0.05</f>
        <v>2.1554224591581153</v>
      </c>
    </row>
    <row r="379" spans="2:9" ht="15.75" thickBot="1" x14ac:dyDescent="0.3">
      <c r="B379" s="725"/>
      <c r="C379" s="726"/>
      <c r="D379" s="727" t="s">
        <v>41</v>
      </c>
      <c r="E379" s="728"/>
      <c r="F379" s="160"/>
      <c r="G379" s="129"/>
      <c r="H379" s="161"/>
      <c r="I379" s="131">
        <f>(I377/F372)+I378</f>
        <v>45.263871642320417</v>
      </c>
    </row>
    <row r="380" spans="2:9" ht="15.75" thickBot="1" x14ac:dyDescent="0.3"/>
    <row r="381" spans="2:9" ht="24" customHeight="1" thickBot="1" x14ac:dyDescent="0.3">
      <c r="B381" s="145" t="s">
        <v>9</v>
      </c>
      <c r="C381" s="729" t="s">
        <v>7</v>
      </c>
      <c r="D381" s="730"/>
      <c r="E381" s="730"/>
      <c r="F381" s="730"/>
      <c r="G381" s="730"/>
      <c r="H381" s="730"/>
      <c r="I381" s="731"/>
    </row>
    <row r="382" spans="2:9" ht="23.25" thickBot="1" x14ac:dyDescent="0.3">
      <c r="B382" s="732" t="s">
        <v>37</v>
      </c>
      <c r="C382" s="733"/>
      <c r="D382" s="734" t="s">
        <v>38</v>
      </c>
      <c r="E382" s="735"/>
      <c r="F382" s="146" t="s">
        <v>39</v>
      </c>
      <c r="G382" s="106" t="s">
        <v>40</v>
      </c>
      <c r="H382" s="106" t="s">
        <v>41</v>
      </c>
      <c r="I382" s="107" t="s">
        <v>42</v>
      </c>
    </row>
    <row r="383" spans="2:9" x14ac:dyDescent="0.25">
      <c r="B383" s="736" t="s">
        <v>54</v>
      </c>
      <c r="C383" s="737"/>
      <c r="D383" s="738" t="str">
        <f>CENIK_št_1!B77</f>
        <v>Vibracijski valjar 1,5 t</v>
      </c>
      <c r="E383" s="739"/>
      <c r="F383" s="147">
        <v>25000</v>
      </c>
      <c r="G383" s="148"/>
      <c r="H383" s="148"/>
      <c r="I383" s="149"/>
    </row>
    <row r="384" spans="2:9" x14ac:dyDescent="0.25">
      <c r="B384" s="110"/>
      <c r="C384" s="111"/>
      <c r="D384" s="740" t="s">
        <v>223</v>
      </c>
      <c r="E384" s="741"/>
      <c r="F384" s="150">
        <v>96</v>
      </c>
      <c r="G384" s="151"/>
      <c r="H384" s="151"/>
      <c r="I384" s="152"/>
    </row>
    <row r="385" spans="2:9" x14ac:dyDescent="0.25">
      <c r="B385" s="110"/>
      <c r="C385" s="111"/>
      <c r="D385" s="740" t="s">
        <v>222</v>
      </c>
      <c r="E385" s="741"/>
      <c r="F385" s="150">
        <v>75</v>
      </c>
      <c r="G385" s="151"/>
      <c r="H385" s="151"/>
      <c r="I385" s="152"/>
    </row>
    <row r="386" spans="2:9" x14ac:dyDescent="0.25">
      <c r="B386" s="742"/>
      <c r="C386" s="743"/>
      <c r="D386" s="744" t="s">
        <v>218</v>
      </c>
      <c r="E386" s="745"/>
      <c r="F386" s="153" t="s">
        <v>227</v>
      </c>
      <c r="G386" s="120"/>
      <c r="H386" s="112">
        <f>H43</f>
        <v>18.077615849828966</v>
      </c>
      <c r="I386" s="113">
        <f>F385*H386</f>
        <v>1355.8211887371724</v>
      </c>
    </row>
    <row r="387" spans="2:9" ht="27" customHeight="1" x14ac:dyDescent="0.25">
      <c r="B387" s="742"/>
      <c r="C387" s="743"/>
      <c r="D387" s="746" t="s">
        <v>226</v>
      </c>
      <c r="E387" s="747"/>
      <c r="F387" s="154"/>
      <c r="G387" s="120"/>
      <c r="H387" s="112">
        <f>550/12/F385</f>
        <v>0.61111111111111116</v>
      </c>
      <c r="I387" s="113">
        <f>F385*H387</f>
        <v>45.833333333333336</v>
      </c>
    </row>
    <row r="388" spans="2:9" ht="24" customHeight="1" x14ac:dyDescent="0.25">
      <c r="B388" s="742"/>
      <c r="C388" s="743"/>
      <c r="D388" s="753" t="s">
        <v>359</v>
      </c>
      <c r="E388" s="745"/>
      <c r="F388" s="154"/>
      <c r="G388" s="120">
        <v>7.2</v>
      </c>
      <c r="H388" s="112">
        <v>1.56</v>
      </c>
      <c r="I388" s="122">
        <f>F385*G388*H388</f>
        <v>842.4</v>
      </c>
    </row>
    <row r="389" spans="2:9" ht="15.75" thickBot="1" x14ac:dyDescent="0.3">
      <c r="B389" s="742"/>
      <c r="C389" s="743"/>
      <c r="D389" s="744" t="s">
        <v>174</v>
      </c>
      <c r="E389" s="745"/>
      <c r="F389" s="155"/>
      <c r="G389" s="120"/>
      <c r="H389" s="120"/>
      <c r="I389" s="119">
        <f>F383/F384</f>
        <v>260.41666666666669</v>
      </c>
    </row>
    <row r="390" spans="2:9" ht="15.75" thickTop="1" x14ac:dyDescent="0.25">
      <c r="B390" s="742"/>
      <c r="C390" s="743"/>
      <c r="D390" s="749" t="s">
        <v>167</v>
      </c>
      <c r="E390" s="750"/>
      <c r="F390" s="154"/>
      <c r="G390" s="120"/>
      <c r="H390" s="120"/>
      <c r="I390" s="156">
        <f>SUM(I386:I389)</f>
        <v>2504.4711887371723</v>
      </c>
    </row>
    <row r="391" spans="2:9" ht="18.75" customHeight="1" thickBot="1" x14ac:dyDescent="0.3">
      <c r="B391" s="721"/>
      <c r="C391" s="722"/>
      <c r="D391" s="723" t="s">
        <v>221</v>
      </c>
      <c r="E391" s="724"/>
      <c r="F391" s="157"/>
      <c r="G391" s="158"/>
      <c r="H391" s="159"/>
      <c r="I391" s="115">
        <f>(I390/F385)*0.05</f>
        <v>1.6696474591581147</v>
      </c>
    </row>
    <row r="392" spans="2:9" ht="15.75" thickBot="1" x14ac:dyDescent="0.3">
      <c r="B392" s="725"/>
      <c r="C392" s="726"/>
      <c r="D392" s="727" t="s">
        <v>41</v>
      </c>
      <c r="E392" s="728"/>
      <c r="F392" s="160"/>
      <c r="G392" s="129"/>
      <c r="H392" s="161"/>
      <c r="I392" s="131">
        <f>(I390/F385)+I391</f>
        <v>35.062596642320408</v>
      </c>
    </row>
    <row r="394" spans="2:9" ht="15.75" thickBot="1" x14ac:dyDescent="0.3">
      <c r="B394" s="132"/>
      <c r="C394" s="132"/>
      <c r="D394" s="133"/>
      <c r="E394" s="133"/>
      <c r="F394" s="162"/>
      <c r="G394" s="134"/>
      <c r="H394" s="134"/>
      <c r="I394" s="136"/>
    </row>
    <row r="395" spans="2:9" ht="15.75" thickBot="1" x14ac:dyDescent="0.3">
      <c r="B395" s="145" t="s">
        <v>9</v>
      </c>
      <c r="C395" s="729" t="s">
        <v>7</v>
      </c>
      <c r="D395" s="730"/>
      <c r="E395" s="730"/>
      <c r="F395" s="730"/>
      <c r="G395" s="730"/>
      <c r="H395" s="730"/>
      <c r="I395" s="731"/>
    </row>
    <row r="396" spans="2:9" ht="23.25" thickBot="1" x14ac:dyDescent="0.3">
      <c r="B396" s="732" t="s">
        <v>37</v>
      </c>
      <c r="C396" s="733"/>
      <c r="D396" s="734" t="s">
        <v>38</v>
      </c>
      <c r="E396" s="735"/>
      <c r="F396" s="146" t="s">
        <v>39</v>
      </c>
      <c r="G396" s="106" t="s">
        <v>40</v>
      </c>
      <c r="H396" s="106" t="s">
        <v>41</v>
      </c>
      <c r="I396" s="107" t="s">
        <v>42</v>
      </c>
    </row>
    <row r="397" spans="2:9" x14ac:dyDescent="0.25">
      <c r="B397" s="736" t="s">
        <v>55</v>
      </c>
      <c r="C397" s="737"/>
      <c r="D397" s="738" t="str">
        <f>CENIK_št_1!B78</f>
        <v>Stroj za pometanje cest</v>
      </c>
      <c r="E397" s="739"/>
      <c r="F397" s="147">
        <v>120000</v>
      </c>
      <c r="G397" s="148"/>
      <c r="H397" s="148"/>
      <c r="I397" s="149"/>
    </row>
    <row r="398" spans="2:9" x14ac:dyDescent="0.25">
      <c r="B398" s="110"/>
      <c r="C398" s="111"/>
      <c r="D398" s="740" t="s">
        <v>223</v>
      </c>
      <c r="E398" s="741"/>
      <c r="F398" s="150">
        <v>96</v>
      </c>
      <c r="G398" s="151"/>
      <c r="H398" s="151"/>
      <c r="I398" s="152"/>
    </row>
    <row r="399" spans="2:9" x14ac:dyDescent="0.25">
      <c r="B399" s="110"/>
      <c r="C399" s="111"/>
      <c r="D399" s="740" t="s">
        <v>222</v>
      </c>
      <c r="E399" s="741"/>
      <c r="F399" s="150">
        <v>80</v>
      </c>
      <c r="G399" s="151"/>
      <c r="H399" s="151"/>
      <c r="I399" s="152"/>
    </row>
    <row r="400" spans="2:9" x14ac:dyDescent="0.25">
      <c r="B400" s="742"/>
      <c r="C400" s="743"/>
      <c r="D400" s="744" t="s">
        <v>218</v>
      </c>
      <c r="E400" s="745"/>
      <c r="F400" s="153" t="s">
        <v>227</v>
      </c>
      <c r="G400" s="120"/>
      <c r="H400" s="28">
        <f>H43</f>
        <v>18.077615849828966</v>
      </c>
      <c r="I400" s="113">
        <f>F399*H400</f>
        <v>1446.2092679863172</v>
      </c>
    </row>
    <row r="401" spans="2:9" ht="24" customHeight="1" x14ac:dyDescent="0.25">
      <c r="B401" s="742"/>
      <c r="C401" s="743"/>
      <c r="D401" s="746" t="s">
        <v>226</v>
      </c>
      <c r="E401" s="747"/>
      <c r="F401" s="154"/>
      <c r="G401" s="120"/>
      <c r="H401" s="112">
        <f>1850/12/F399</f>
        <v>1.9270833333333333</v>
      </c>
      <c r="I401" s="113">
        <f>F399*H401</f>
        <v>154.16666666666666</v>
      </c>
    </row>
    <row r="402" spans="2:9" ht="24" customHeight="1" x14ac:dyDescent="0.25">
      <c r="B402" s="742"/>
      <c r="C402" s="743"/>
      <c r="D402" s="753" t="s">
        <v>359</v>
      </c>
      <c r="E402" s="745"/>
      <c r="F402" s="154"/>
      <c r="G402" s="120">
        <v>25</v>
      </c>
      <c r="H402" s="112">
        <v>1.56</v>
      </c>
      <c r="I402" s="122">
        <f>F399*G402*H402</f>
        <v>3120</v>
      </c>
    </row>
    <row r="403" spans="2:9" ht="15.75" thickBot="1" x14ac:dyDescent="0.3">
      <c r="B403" s="742"/>
      <c r="C403" s="743"/>
      <c r="D403" s="744" t="s">
        <v>174</v>
      </c>
      <c r="E403" s="745"/>
      <c r="F403" s="155"/>
      <c r="G403" s="120"/>
      <c r="H403" s="120"/>
      <c r="I403" s="119">
        <f>F397/F398</f>
        <v>1250</v>
      </c>
    </row>
    <row r="404" spans="2:9" ht="15.75" thickTop="1" x14ac:dyDescent="0.25">
      <c r="B404" s="742"/>
      <c r="C404" s="743"/>
      <c r="D404" s="749" t="s">
        <v>167</v>
      </c>
      <c r="E404" s="750"/>
      <c r="F404" s="154"/>
      <c r="G404" s="120"/>
      <c r="H404" s="120"/>
      <c r="I404" s="156">
        <f>SUM(I400:I403)</f>
        <v>5970.3759346529841</v>
      </c>
    </row>
    <row r="405" spans="2:9" ht="20.25" customHeight="1" thickBot="1" x14ac:dyDescent="0.3">
      <c r="B405" s="721"/>
      <c r="C405" s="722"/>
      <c r="D405" s="723" t="s">
        <v>221</v>
      </c>
      <c r="E405" s="724"/>
      <c r="F405" s="157"/>
      <c r="G405" s="158"/>
      <c r="H405" s="159"/>
      <c r="I405" s="115">
        <f>(I404/F399)*0.05</f>
        <v>3.7314849591581152</v>
      </c>
    </row>
    <row r="406" spans="2:9" ht="15.75" thickBot="1" x14ac:dyDescent="0.3">
      <c r="B406" s="725"/>
      <c r="C406" s="726"/>
      <c r="D406" s="727" t="s">
        <v>41</v>
      </c>
      <c r="E406" s="728"/>
      <c r="F406" s="160"/>
      <c r="G406" s="129"/>
      <c r="H406" s="161"/>
      <c r="I406" s="131">
        <f>(I404/F399)+I405</f>
        <v>78.361184142320411</v>
      </c>
    </row>
    <row r="407" spans="2:9" ht="15.75" thickBot="1" x14ac:dyDescent="0.3">
      <c r="B407" s="132"/>
      <c r="C407" s="132"/>
      <c r="D407" s="133"/>
      <c r="E407" s="133"/>
      <c r="F407" s="162"/>
      <c r="G407" s="134"/>
      <c r="H407" s="134"/>
      <c r="I407" s="136"/>
    </row>
    <row r="408" spans="2:9" ht="15.75" thickBot="1" x14ac:dyDescent="0.3">
      <c r="B408" s="145" t="s">
        <v>9</v>
      </c>
      <c r="C408" s="729" t="s">
        <v>7</v>
      </c>
      <c r="D408" s="730"/>
      <c r="E408" s="730"/>
      <c r="F408" s="730"/>
      <c r="G408" s="730"/>
      <c r="H408" s="730"/>
      <c r="I408" s="731"/>
    </row>
    <row r="409" spans="2:9" ht="23.25" thickBot="1" x14ac:dyDescent="0.3">
      <c r="B409" s="732" t="s">
        <v>37</v>
      </c>
      <c r="C409" s="733"/>
      <c r="D409" s="734" t="s">
        <v>38</v>
      </c>
      <c r="E409" s="735"/>
      <c r="F409" s="146" t="s">
        <v>39</v>
      </c>
      <c r="G409" s="106" t="s">
        <v>40</v>
      </c>
      <c r="H409" s="106" t="s">
        <v>41</v>
      </c>
      <c r="I409" s="107" t="s">
        <v>42</v>
      </c>
    </row>
    <row r="410" spans="2:9" x14ac:dyDescent="0.25">
      <c r="B410" s="736" t="s">
        <v>56</v>
      </c>
      <c r="C410" s="737"/>
      <c r="D410" s="738" t="str">
        <f>CENIK_št_1!B79</f>
        <v>Viličar 3 t</v>
      </c>
      <c r="E410" s="739"/>
      <c r="F410" s="147">
        <v>19000</v>
      </c>
      <c r="G410" s="148"/>
      <c r="H410" s="148"/>
      <c r="I410" s="149"/>
    </row>
    <row r="411" spans="2:9" x14ac:dyDescent="0.25">
      <c r="B411" s="110"/>
      <c r="C411" s="111"/>
      <c r="D411" s="740" t="s">
        <v>223</v>
      </c>
      <c r="E411" s="741"/>
      <c r="F411" s="150">
        <v>96</v>
      </c>
      <c r="G411" s="151"/>
      <c r="H411" s="151"/>
      <c r="I411" s="152"/>
    </row>
    <row r="412" spans="2:9" x14ac:dyDescent="0.25">
      <c r="B412" s="110"/>
      <c r="C412" s="111"/>
      <c r="D412" s="740" t="s">
        <v>222</v>
      </c>
      <c r="E412" s="741"/>
      <c r="F412" s="150">
        <v>27</v>
      </c>
      <c r="G412" s="151"/>
      <c r="H412" s="151"/>
      <c r="I412" s="152"/>
    </row>
    <row r="413" spans="2:9" x14ac:dyDescent="0.25">
      <c r="B413" s="742"/>
      <c r="C413" s="743"/>
      <c r="D413" s="744" t="s">
        <v>218</v>
      </c>
      <c r="E413" s="745"/>
      <c r="F413" s="153" t="s">
        <v>227</v>
      </c>
      <c r="G413" s="120"/>
      <c r="H413" s="112">
        <f>H400</f>
        <v>18.077615849828966</v>
      </c>
      <c r="I413" s="113">
        <f>F412*H413</f>
        <v>488.09562794538209</v>
      </c>
    </row>
    <row r="414" spans="2:9" ht="23.25" customHeight="1" x14ac:dyDescent="0.25">
      <c r="B414" s="742"/>
      <c r="C414" s="743"/>
      <c r="D414" s="746" t="s">
        <v>226</v>
      </c>
      <c r="E414" s="747"/>
      <c r="F414" s="154"/>
      <c r="G414" s="120"/>
      <c r="H414" s="112">
        <f>350/12/F412</f>
        <v>1.080246913580247</v>
      </c>
      <c r="I414" s="113">
        <f>F412*H414</f>
        <v>29.166666666666671</v>
      </c>
    </row>
    <row r="415" spans="2:9" ht="24" customHeight="1" x14ac:dyDescent="0.25">
      <c r="B415" s="742"/>
      <c r="C415" s="743"/>
      <c r="D415" s="753" t="s">
        <v>393</v>
      </c>
      <c r="E415" s="745"/>
      <c r="F415" s="154"/>
      <c r="G415" s="120">
        <v>4</v>
      </c>
      <c r="H415" s="112">
        <v>1.56</v>
      </c>
      <c r="I415" s="122">
        <f>F412*G415*H415</f>
        <v>168.48000000000002</v>
      </c>
    </row>
    <row r="416" spans="2:9" ht="15.75" thickBot="1" x14ac:dyDescent="0.3">
      <c r="B416" s="742"/>
      <c r="C416" s="743"/>
      <c r="D416" s="744" t="s">
        <v>174</v>
      </c>
      <c r="E416" s="745"/>
      <c r="F416" s="155"/>
      <c r="G416" s="120"/>
      <c r="H416" s="120"/>
      <c r="I416" s="119">
        <f>F410/F411</f>
        <v>197.91666666666666</v>
      </c>
    </row>
    <row r="417" spans="2:9" ht="15.75" thickTop="1" x14ac:dyDescent="0.25">
      <c r="B417" s="742"/>
      <c r="C417" s="743"/>
      <c r="D417" s="749" t="s">
        <v>167</v>
      </c>
      <c r="E417" s="750"/>
      <c r="F417" s="154"/>
      <c r="G417" s="120"/>
      <c r="H417" s="120"/>
      <c r="I417" s="156">
        <f>SUM(I413:I416)</f>
        <v>883.65896127871542</v>
      </c>
    </row>
    <row r="418" spans="2:9" ht="24" customHeight="1" thickBot="1" x14ac:dyDescent="0.3">
      <c r="B418" s="721"/>
      <c r="C418" s="722"/>
      <c r="D418" s="723" t="s">
        <v>221</v>
      </c>
      <c r="E418" s="724"/>
      <c r="F418" s="157"/>
      <c r="G418" s="158"/>
      <c r="H418" s="159"/>
      <c r="I418" s="115">
        <f>(I417/F412)*0.05</f>
        <v>1.6364054838494733</v>
      </c>
    </row>
    <row r="419" spans="2:9" ht="15.75" thickBot="1" x14ac:dyDescent="0.3">
      <c r="B419" s="725"/>
      <c r="C419" s="726"/>
      <c r="D419" s="727" t="s">
        <v>41</v>
      </c>
      <c r="E419" s="728"/>
      <c r="F419" s="160"/>
      <c r="G419" s="129"/>
      <c r="H419" s="161"/>
      <c r="I419" s="131">
        <f>(I417/F412)+I418</f>
        <v>34.364515160838934</v>
      </c>
    </row>
    <row r="420" spans="2:9" ht="15.75" thickBot="1" x14ac:dyDescent="0.3">
      <c r="B420" s="180"/>
      <c r="C420" s="180"/>
      <c r="D420" s="181"/>
      <c r="E420" s="181"/>
      <c r="F420" s="182"/>
      <c r="G420" s="183"/>
      <c r="H420" s="183"/>
      <c r="I420" s="184"/>
    </row>
    <row r="421" spans="2:9" ht="16.5" thickTop="1" thickBot="1" x14ac:dyDescent="0.3">
      <c r="B421" s="132"/>
      <c r="C421" s="132"/>
      <c r="D421" s="133"/>
      <c r="E421" s="133"/>
      <c r="F421" s="162"/>
      <c r="G421" s="134"/>
      <c r="H421" s="134"/>
      <c r="I421" s="136"/>
    </row>
    <row r="422" spans="2:9" ht="15.75" thickBot="1" x14ac:dyDescent="0.3">
      <c r="B422" s="48" t="s">
        <v>77</v>
      </c>
      <c r="C422" s="663" t="str">
        <f>[1]CENIK_št_1!B78</f>
        <v>PRIKLJUČKI ZA TOVORNA VOZILA IN TRAKTORJE</v>
      </c>
      <c r="D422" s="664"/>
      <c r="E422" s="664"/>
      <c r="F422" s="664"/>
      <c r="G422" s="664"/>
      <c r="H422" s="665"/>
    </row>
    <row r="423" spans="2:9" ht="23.25" thickBot="1" x14ac:dyDescent="0.3">
      <c r="B423" s="755" t="s">
        <v>37</v>
      </c>
      <c r="C423" s="733"/>
      <c r="D423" s="800" t="s">
        <v>38</v>
      </c>
      <c r="E423" s="735"/>
      <c r="F423" s="205" t="s">
        <v>39</v>
      </c>
      <c r="G423" s="54"/>
      <c r="H423" s="55" t="s">
        <v>42</v>
      </c>
    </row>
    <row r="424" spans="2:9" ht="25.5" customHeight="1" x14ac:dyDescent="0.25">
      <c r="B424" s="873" t="s">
        <v>78</v>
      </c>
      <c r="C424" s="876"/>
      <c r="D424" s="738" t="str">
        <f>CENIK_št_1!B95</f>
        <v>Posipalec za tovorna vozila - avtomatski</v>
      </c>
      <c r="E424" s="739"/>
      <c r="F424" s="220">
        <v>19250</v>
      </c>
      <c r="G424" s="221"/>
      <c r="H424" s="221"/>
    </row>
    <row r="425" spans="2:9" ht="15" customHeight="1" x14ac:dyDescent="0.25">
      <c r="B425" s="60"/>
      <c r="C425" s="61"/>
      <c r="D425" s="793" t="s">
        <v>223</v>
      </c>
      <c r="E425" s="875"/>
      <c r="F425" s="222">
        <v>96</v>
      </c>
      <c r="G425" s="223"/>
      <c r="H425" s="166"/>
    </row>
    <row r="426" spans="2:9" ht="17.25" customHeight="1" x14ac:dyDescent="0.25">
      <c r="B426" s="822"/>
      <c r="C426" s="854"/>
      <c r="D426" s="753" t="s">
        <v>229</v>
      </c>
      <c r="E426" s="872"/>
      <c r="F426" s="213"/>
      <c r="G426" s="31">
        <v>20</v>
      </c>
      <c r="H426" s="224"/>
    </row>
    <row r="427" spans="2:9" ht="23.25" customHeight="1" x14ac:dyDescent="0.25">
      <c r="B427" s="822"/>
      <c r="C427" s="854"/>
      <c r="D427" s="748" t="s">
        <v>228</v>
      </c>
      <c r="E427" s="869"/>
      <c r="F427" s="213"/>
      <c r="G427" s="28">
        <v>3.5</v>
      </c>
      <c r="H427" s="29">
        <f>G427*G426</f>
        <v>70</v>
      </c>
    </row>
    <row r="428" spans="2:9" ht="21.75" customHeight="1" thickBot="1" x14ac:dyDescent="0.3">
      <c r="B428" s="822"/>
      <c r="C428" s="854"/>
      <c r="D428" s="753" t="s">
        <v>174</v>
      </c>
      <c r="E428" s="872"/>
      <c r="F428" s="214"/>
      <c r="G428" s="27"/>
      <c r="H428" s="30">
        <f>F424/F425</f>
        <v>200.52083333333334</v>
      </c>
    </row>
    <row r="429" spans="2:9" ht="15.75" thickTop="1" x14ac:dyDescent="0.25">
      <c r="B429" s="822"/>
      <c r="C429" s="854"/>
      <c r="D429" s="870" t="s">
        <v>167</v>
      </c>
      <c r="E429" s="871"/>
      <c r="F429" s="213"/>
      <c r="G429" s="27"/>
      <c r="H429" s="215">
        <f>SUM(H427:H428)</f>
        <v>270.52083333333337</v>
      </c>
    </row>
    <row r="430" spans="2:9" ht="24.75" customHeight="1" thickBot="1" x14ac:dyDescent="0.3">
      <c r="B430" s="768"/>
      <c r="C430" s="769"/>
      <c r="D430" s="770" t="s">
        <v>230</v>
      </c>
      <c r="E430" s="771"/>
      <c r="F430" s="216"/>
      <c r="G430" s="217"/>
      <c r="H430" s="33">
        <f>(H429/G426)*0.05+0.18</f>
        <v>0.85630208333333346</v>
      </c>
    </row>
    <row r="431" spans="2:9" ht="15.75" thickBot="1" x14ac:dyDescent="0.3">
      <c r="B431" s="772"/>
      <c r="C431" s="773"/>
      <c r="D431" s="754" t="s">
        <v>41</v>
      </c>
      <c r="E431" s="774"/>
      <c r="F431" s="218"/>
      <c r="G431" s="219"/>
      <c r="H431" s="56">
        <f>(H429/G426)+H430</f>
        <v>14.38234375</v>
      </c>
    </row>
    <row r="432" spans="2:9" ht="15.75" thickBot="1" x14ac:dyDescent="0.3"/>
    <row r="433" spans="2:8" ht="15.75" thickBot="1" x14ac:dyDescent="0.3">
      <c r="B433" s="145" t="s">
        <v>77</v>
      </c>
      <c r="C433" s="729" t="str">
        <f>C422</f>
        <v>PRIKLJUČKI ZA TOVORNA VOZILA IN TRAKTORJE</v>
      </c>
      <c r="D433" s="730"/>
      <c r="E433" s="730"/>
      <c r="F433" s="730"/>
      <c r="G433" s="730"/>
      <c r="H433" s="731"/>
    </row>
    <row r="434" spans="2:8" ht="23.25" thickBot="1" x14ac:dyDescent="0.3">
      <c r="B434" s="732" t="s">
        <v>37</v>
      </c>
      <c r="C434" s="733"/>
      <c r="D434" s="734" t="s">
        <v>38</v>
      </c>
      <c r="E434" s="735"/>
      <c r="F434" s="146" t="s">
        <v>39</v>
      </c>
      <c r="G434" s="106"/>
      <c r="H434" s="107" t="s">
        <v>42</v>
      </c>
    </row>
    <row r="435" spans="2:8" x14ac:dyDescent="0.25">
      <c r="B435" s="873" t="s">
        <v>78</v>
      </c>
      <c r="C435" s="874"/>
      <c r="D435" s="738" t="str">
        <f>CENIK_št_1!B96</f>
        <v>Posipalec traktorski - regulacijski</v>
      </c>
      <c r="E435" s="739"/>
      <c r="F435" s="185">
        <v>5100</v>
      </c>
      <c r="G435" s="163"/>
      <c r="H435" s="163"/>
    </row>
    <row r="436" spans="2:8" x14ac:dyDescent="0.25">
      <c r="B436" s="110"/>
      <c r="C436" s="111"/>
      <c r="D436" s="740" t="s">
        <v>223</v>
      </c>
      <c r="E436" s="741"/>
      <c r="F436" s="167">
        <v>96</v>
      </c>
      <c r="G436" s="168"/>
      <c r="H436" s="166"/>
    </row>
    <row r="437" spans="2:8" ht="17.25" customHeight="1" x14ac:dyDescent="0.25">
      <c r="B437" s="742"/>
      <c r="C437" s="743"/>
      <c r="D437" s="753" t="s">
        <v>229</v>
      </c>
      <c r="E437" s="872"/>
      <c r="F437" s="154"/>
      <c r="G437" s="116">
        <v>10</v>
      </c>
      <c r="H437" s="164"/>
    </row>
    <row r="438" spans="2:8" ht="23.25" customHeight="1" x14ac:dyDescent="0.25">
      <c r="B438" s="742"/>
      <c r="C438" s="743"/>
      <c r="D438" s="748" t="s">
        <v>228</v>
      </c>
      <c r="E438" s="869"/>
      <c r="F438" s="154"/>
      <c r="G438" s="112">
        <v>3.5</v>
      </c>
      <c r="H438" s="113">
        <f>G438*G437</f>
        <v>35</v>
      </c>
    </row>
    <row r="439" spans="2:8" ht="21.75" customHeight="1" thickBot="1" x14ac:dyDescent="0.3">
      <c r="B439" s="742"/>
      <c r="C439" s="743"/>
      <c r="D439" s="753" t="s">
        <v>174</v>
      </c>
      <c r="E439" s="872"/>
      <c r="F439" s="155"/>
      <c r="G439" s="120"/>
      <c r="H439" s="119">
        <f>F435/F436</f>
        <v>53.125</v>
      </c>
    </row>
    <row r="440" spans="2:8" ht="15.75" thickTop="1" x14ac:dyDescent="0.25">
      <c r="B440" s="742"/>
      <c r="C440" s="743"/>
      <c r="D440" s="870" t="s">
        <v>167</v>
      </c>
      <c r="E440" s="871"/>
      <c r="F440" s="154"/>
      <c r="G440" s="120"/>
      <c r="H440" s="156">
        <f>SUM(H438:H439)</f>
        <v>88.125</v>
      </c>
    </row>
    <row r="441" spans="2:8" ht="24.75" customHeight="1" thickBot="1" x14ac:dyDescent="0.3">
      <c r="B441" s="721"/>
      <c r="C441" s="722"/>
      <c r="D441" s="770" t="s">
        <v>230</v>
      </c>
      <c r="E441" s="771"/>
      <c r="F441" s="157"/>
      <c r="G441" s="159"/>
      <c r="H441" s="115">
        <f>(H440/G437)*0.05</f>
        <v>0.44062500000000004</v>
      </c>
    </row>
    <row r="442" spans="2:8" ht="15.75" thickBot="1" x14ac:dyDescent="0.3">
      <c r="B442" s="725"/>
      <c r="C442" s="726"/>
      <c r="D442" s="727" t="s">
        <v>41</v>
      </c>
      <c r="E442" s="728"/>
      <c r="F442" s="160"/>
      <c r="G442" s="161"/>
      <c r="H442" s="131">
        <f>(H440/G437)+H441</f>
        <v>9.2531250000000007</v>
      </c>
    </row>
    <row r="443" spans="2:8" ht="15.75" thickBot="1" x14ac:dyDescent="0.3">
      <c r="B443" s="132"/>
      <c r="C443" s="132"/>
      <c r="D443" s="133"/>
      <c r="E443" s="133"/>
      <c r="F443" s="162"/>
      <c r="G443" s="134"/>
      <c r="H443" s="136"/>
    </row>
    <row r="444" spans="2:8" ht="15.75" thickBot="1" x14ac:dyDescent="0.3">
      <c r="B444" s="48" t="s">
        <v>77</v>
      </c>
      <c r="C444" s="663" t="str">
        <f>C433</f>
        <v>PRIKLJUČKI ZA TOVORNA VOZILA IN TRAKTORJE</v>
      </c>
      <c r="D444" s="664"/>
      <c r="E444" s="664"/>
      <c r="F444" s="664"/>
      <c r="G444" s="664"/>
      <c r="H444" s="665"/>
    </row>
    <row r="445" spans="2:8" ht="23.25" thickBot="1" x14ac:dyDescent="0.3">
      <c r="B445" s="755" t="s">
        <v>37</v>
      </c>
      <c r="C445" s="733"/>
      <c r="D445" s="800" t="s">
        <v>38</v>
      </c>
      <c r="E445" s="735"/>
      <c r="F445" s="205" t="s">
        <v>39</v>
      </c>
      <c r="G445" s="54"/>
      <c r="H445" s="55" t="s">
        <v>42</v>
      </c>
    </row>
    <row r="446" spans="2:8" ht="23.25" customHeight="1" x14ac:dyDescent="0.25">
      <c r="B446" s="873" t="s">
        <v>79</v>
      </c>
      <c r="C446" s="876"/>
      <c r="D446" s="738" t="str">
        <f>CENIK_št_1!B97</f>
        <v>Snežni plug - tovorno vozilo</v>
      </c>
      <c r="E446" s="739"/>
      <c r="F446" s="220">
        <v>8900</v>
      </c>
      <c r="G446" s="221"/>
      <c r="H446" s="221"/>
    </row>
    <row r="447" spans="2:8" x14ac:dyDescent="0.25">
      <c r="B447" s="60"/>
      <c r="C447" s="61"/>
      <c r="D447" s="793" t="s">
        <v>223</v>
      </c>
      <c r="E447" s="875"/>
      <c r="F447" s="222">
        <v>96</v>
      </c>
      <c r="G447" s="223"/>
      <c r="H447" s="166"/>
    </row>
    <row r="448" spans="2:8" ht="17.25" customHeight="1" x14ac:dyDescent="0.25">
      <c r="B448" s="822"/>
      <c r="C448" s="854"/>
      <c r="D448" s="753" t="s">
        <v>229</v>
      </c>
      <c r="E448" s="872"/>
      <c r="F448" s="213"/>
      <c r="G448" s="31">
        <v>10</v>
      </c>
      <c r="H448" s="224"/>
    </row>
    <row r="449" spans="2:8" ht="30" customHeight="1" x14ac:dyDescent="0.25">
      <c r="B449" s="822"/>
      <c r="C449" s="854"/>
      <c r="D449" s="748" t="s">
        <v>228</v>
      </c>
      <c r="E449" s="869"/>
      <c r="F449" s="213"/>
      <c r="G449" s="28">
        <v>2.5</v>
      </c>
      <c r="H449" s="29">
        <f>G449*G448</f>
        <v>25</v>
      </c>
    </row>
    <row r="450" spans="2:8" ht="21.75" customHeight="1" thickBot="1" x14ac:dyDescent="0.3">
      <c r="B450" s="822"/>
      <c r="C450" s="854"/>
      <c r="D450" s="753" t="s">
        <v>174</v>
      </c>
      <c r="E450" s="872"/>
      <c r="F450" s="214"/>
      <c r="G450" s="27"/>
      <c r="H450" s="30">
        <f>F446/F447</f>
        <v>92.708333333333329</v>
      </c>
    </row>
    <row r="451" spans="2:8" ht="15.75" thickTop="1" x14ac:dyDescent="0.25">
      <c r="B451" s="822"/>
      <c r="C451" s="854"/>
      <c r="D451" s="870" t="s">
        <v>167</v>
      </c>
      <c r="E451" s="871"/>
      <c r="F451" s="213"/>
      <c r="G451" s="27"/>
      <c r="H451" s="215">
        <f>SUM(H449:H450)</f>
        <v>117.70833333333333</v>
      </c>
    </row>
    <row r="452" spans="2:8" ht="24.75" customHeight="1" thickBot="1" x14ac:dyDescent="0.3">
      <c r="B452" s="768"/>
      <c r="C452" s="769"/>
      <c r="D452" s="770" t="s">
        <v>230</v>
      </c>
      <c r="E452" s="771"/>
      <c r="F452" s="216"/>
      <c r="G452" s="217"/>
      <c r="H452" s="33">
        <f>(H451/G448)*0.05+0.01</f>
        <v>0.59854166666666664</v>
      </c>
    </row>
    <row r="453" spans="2:8" ht="15.75" thickBot="1" x14ac:dyDescent="0.3">
      <c r="B453" s="772"/>
      <c r="C453" s="773"/>
      <c r="D453" s="754" t="s">
        <v>41</v>
      </c>
      <c r="E453" s="774"/>
      <c r="F453" s="218"/>
      <c r="G453" s="219"/>
      <c r="H453" s="56">
        <f>(H451/G448)+H452</f>
        <v>12.369374999999998</v>
      </c>
    </row>
    <row r="454" spans="2:8" ht="15.75" thickBot="1" x14ac:dyDescent="0.3">
      <c r="B454" s="199"/>
      <c r="C454" s="199"/>
      <c r="D454" s="200"/>
      <c r="E454" s="200"/>
      <c r="F454" s="337"/>
      <c r="G454" s="201"/>
      <c r="H454" s="203"/>
    </row>
    <row r="455" spans="2:8" ht="15.75" thickBot="1" x14ac:dyDescent="0.3">
      <c r="B455" s="48" t="s">
        <v>77</v>
      </c>
      <c r="C455" s="663" t="str">
        <f>C444</f>
        <v>PRIKLJUČKI ZA TOVORNA VOZILA IN TRAKTORJE</v>
      </c>
      <c r="D455" s="664"/>
      <c r="E455" s="664"/>
      <c r="F455" s="664"/>
      <c r="G455" s="664"/>
      <c r="H455" s="665"/>
    </row>
    <row r="456" spans="2:8" ht="23.25" thickBot="1" x14ac:dyDescent="0.3">
      <c r="B456" s="755" t="s">
        <v>37</v>
      </c>
      <c r="C456" s="733"/>
      <c r="D456" s="800" t="s">
        <v>38</v>
      </c>
      <c r="E456" s="735"/>
      <c r="F456" s="205" t="s">
        <v>39</v>
      </c>
      <c r="G456" s="54"/>
      <c r="H456" s="55" t="s">
        <v>42</v>
      </c>
    </row>
    <row r="457" spans="2:8" x14ac:dyDescent="0.25">
      <c r="B457" s="873" t="s">
        <v>80</v>
      </c>
      <c r="C457" s="876"/>
      <c r="D457" s="738" t="str">
        <f>CENIK_št_1!B98</f>
        <v>Snežni plug - traktor</v>
      </c>
      <c r="E457" s="739"/>
      <c r="F457" s="220">
        <v>5000</v>
      </c>
      <c r="G457" s="221"/>
      <c r="H457" s="221"/>
    </row>
    <row r="458" spans="2:8" x14ac:dyDescent="0.25">
      <c r="B458" s="60"/>
      <c r="C458" s="61"/>
      <c r="D458" s="793" t="s">
        <v>223</v>
      </c>
      <c r="E458" s="875"/>
      <c r="F458" s="222">
        <v>96</v>
      </c>
      <c r="G458" s="223"/>
      <c r="H458" s="166"/>
    </row>
    <row r="459" spans="2:8" x14ac:dyDescent="0.25">
      <c r="B459" s="822"/>
      <c r="C459" s="854"/>
      <c r="D459" s="753" t="s">
        <v>229</v>
      </c>
      <c r="E459" s="872"/>
      <c r="F459" s="213"/>
      <c r="G459" s="31">
        <v>10</v>
      </c>
      <c r="H459" s="224"/>
    </row>
    <row r="460" spans="2:8" ht="27" customHeight="1" x14ac:dyDescent="0.25">
      <c r="B460" s="822"/>
      <c r="C460" s="854"/>
      <c r="D460" s="748" t="s">
        <v>228</v>
      </c>
      <c r="E460" s="869"/>
      <c r="F460" s="213"/>
      <c r="G460" s="28">
        <v>2.5</v>
      </c>
      <c r="H460" s="29">
        <f>G460*G459</f>
        <v>25</v>
      </c>
    </row>
    <row r="461" spans="2:8" ht="15.75" thickBot="1" x14ac:dyDescent="0.3">
      <c r="B461" s="822"/>
      <c r="C461" s="854"/>
      <c r="D461" s="753" t="s">
        <v>174</v>
      </c>
      <c r="E461" s="872"/>
      <c r="F461" s="214"/>
      <c r="G461" s="27"/>
      <c r="H461" s="30">
        <f>F457/F458</f>
        <v>52.083333333333336</v>
      </c>
    </row>
    <row r="462" spans="2:8" ht="15.75" thickTop="1" x14ac:dyDescent="0.25">
      <c r="B462" s="822"/>
      <c r="C462" s="854"/>
      <c r="D462" s="870" t="s">
        <v>167</v>
      </c>
      <c r="E462" s="871"/>
      <c r="F462" s="213"/>
      <c r="G462" s="27"/>
      <c r="H462" s="215">
        <f>SUM(H460:H461)</f>
        <v>77.083333333333343</v>
      </c>
    </row>
    <row r="463" spans="2:8" ht="15.75" thickBot="1" x14ac:dyDescent="0.3">
      <c r="B463" s="768"/>
      <c r="C463" s="769"/>
      <c r="D463" s="770" t="s">
        <v>230</v>
      </c>
      <c r="E463" s="771"/>
      <c r="F463" s="216"/>
      <c r="G463" s="217"/>
      <c r="H463" s="33">
        <f>(H462/G459)*0.05+0.01</f>
        <v>0.39541666666666675</v>
      </c>
    </row>
    <row r="464" spans="2:8" ht="15.75" thickBot="1" x14ac:dyDescent="0.3">
      <c r="B464" s="772"/>
      <c r="C464" s="773"/>
      <c r="D464" s="754" t="s">
        <v>41</v>
      </c>
      <c r="E464" s="774"/>
      <c r="F464" s="218"/>
      <c r="G464" s="219"/>
      <c r="H464" s="56">
        <f>(H462/G459)+H463</f>
        <v>8.1037500000000016</v>
      </c>
    </row>
    <row r="465" spans="2:9" ht="15.75" thickBot="1" x14ac:dyDescent="0.3">
      <c r="B465" s="199"/>
      <c r="C465" s="199"/>
      <c r="D465" s="200"/>
      <c r="E465" s="200"/>
      <c r="F465" s="337"/>
      <c r="G465" s="201"/>
      <c r="H465" s="203"/>
    </row>
    <row r="466" spans="2:9" ht="15.75" thickBot="1" x14ac:dyDescent="0.3">
      <c r="B466" s="145" t="s">
        <v>77</v>
      </c>
      <c r="C466" s="729" t="str">
        <f>C444</f>
        <v>PRIKLJUČKI ZA TOVORNA VOZILA IN TRAKTORJE</v>
      </c>
      <c r="D466" s="730"/>
      <c r="E466" s="730"/>
      <c r="F466" s="730"/>
      <c r="G466" s="730"/>
      <c r="H466" s="731"/>
    </row>
    <row r="467" spans="2:9" ht="23.25" thickBot="1" x14ac:dyDescent="0.3">
      <c r="B467" s="732" t="s">
        <v>37</v>
      </c>
      <c r="C467" s="733"/>
      <c r="D467" s="734" t="s">
        <v>38</v>
      </c>
      <c r="E467" s="735"/>
      <c r="F467" s="146" t="s">
        <v>39</v>
      </c>
      <c r="G467" s="106"/>
      <c r="H467" s="107" t="s">
        <v>42</v>
      </c>
    </row>
    <row r="468" spans="2:9" x14ac:dyDescent="0.25">
      <c r="B468" s="873" t="s">
        <v>81</v>
      </c>
      <c r="C468" s="874"/>
      <c r="D468" s="738" t="str">
        <f>CENIK_št_1!B99</f>
        <v>Čelno in bočno puhalo (rezkar)</v>
      </c>
      <c r="E468" s="739"/>
      <c r="F468" s="185">
        <v>19000</v>
      </c>
      <c r="G468" s="163"/>
      <c r="H468" s="163"/>
    </row>
    <row r="469" spans="2:9" x14ac:dyDescent="0.25">
      <c r="B469" s="110"/>
      <c r="C469" s="111"/>
      <c r="D469" s="740" t="s">
        <v>223</v>
      </c>
      <c r="E469" s="741"/>
      <c r="F469" s="167">
        <v>108</v>
      </c>
      <c r="G469" s="168"/>
      <c r="H469" s="166"/>
    </row>
    <row r="470" spans="2:9" ht="17.25" customHeight="1" x14ac:dyDescent="0.25">
      <c r="B470" s="742"/>
      <c r="C470" s="743"/>
      <c r="D470" s="753" t="s">
        <v>229</v>
      </c>
      <c r="E470" s="872"/>
      <c r="F470" s="154"/>
      <c r="G470" s="116">
        <v>8</v>
      </c>
      <c r="H470" s="164"/>
    </row>
    <row r="471" spans="2:9" ht="22.5" customHeight="1" x14ac:dyDescent="0.25">
      <c r="B471" s="742"/>
      <c r="C471" s="743"/>
      <c r="D471" s="748" t="s">
        <v>228</v>
      </c>
      <c r="E471" s="869"/>
      <c r="F471" s="154"/>
      <c r="G471" s="112">
        <v>3.7</v>
      </c>
      <c r="H471" s="113">
        <f>G471*G470</f>
        <v>29.6</v>
      </c>
    </row>
    <row r="472" spans="2:9" ht="21.75" customHeight="1" thickBot="1" x14ac:dyDescent="0.3">
      <c r="B472" s="742"/>
      <c r="C472" s="743"/>
      <c r="D472" s="753" t="s">
        <v>174</v>
      </c>
      <c r="E472" s="872"/>
      <c r="F472" s="155"/>
      <c r="G472" s="120"/>
      <c r="H472" s="119">
        <f>F468/F469</f>
        <v>175.92592592592592</v>
      </c>
    </row>
    <row r="473" spans="2:9" ht="15.75" thickTop="1" x14ac:dyDescent="0.25">
      <c r="B473" s="742"/>
      <c r="C473" s="743"/>
      <c r="D473" s="870" t="s">
        <v>167</v>
      </c>
      <c r="E473" s="871"/>
      <c r="F473" s="154"/>
      <c r="G473" s="120"/>
      <c r="H473" s="156">
        <f>SUM(H471:H472)</f>
        <v>205.52592592592592</v>
      </c>
    </row>
    <row r="474" spans="2:9" ht="24.75" customHeight="1" thickBot="1" x14ac:dyDescent="0.3">
      <c r="B474" s="721"/>
      <c r="C474" s="722"/>
      <c r="D474" s="770" t="s">
        <v>230</v>
      </c>
      <c r="E474" s="771"/>
      <c r="F474" s="157"/>
      <c r="G474" s="159"/>
      <c r="H474" s="115">
        <f>(H473/G470)*0.05</f>
        <v>1.284537037037037</v>
      </c>
    </row>
    <row r="475" spans="2:9" ht="15.75" thickBot="1" x14ac:dyDescent="0.3">
      <c r="B475" s="725"/>
      <c r="C475" s="726"/>
      <c r="D475" s="727" t="s">
        <v>41</v>
      </c>
      <c r="E475" s="728"/>
      <c r="F475" s="160"/>
      <c r="G475" s="161"/>
      <c r="H475" s="131">
        <f>(H473/G470)+H474</f>
        <v>26.975277777777777</v>
      </c>
    </row>
    <row r="476" spans="2:9" x14ac:dyDescent="0.25">
      <c r="B476" s="132"/>
      <c r="C476" s="132"/>
      <c r="D476" s="133"/>
      <c r="E476" s="133"/>
      <c r="F476" s="162"/>
      <c r="G476" s="134"/>
      <c r="H476" s="136"/>
      <c r="I476" s="186"/>
    </row>
    <row r="477" spans="2:9" ht="15.75" thickBot="1" x14ac:dyDescent="0.3"/>
    <row r="478" spans="2:9" ht="15.75" thickBot="1" x14ac:dyDescent="0.3">
      <c r="B478" s="145" t="s">
        <v>77</v>
      </c>
      <c r="C478" s="729" t="str">
        <f>C466</f>
        <v>PRIKLJUČKI ZA TOVORNA VOZILA IN TRAKTORJE</v>
      </c>
      <c r="D478" s="730"/>
      <c r="E478" s="730"/>
      <c r="F478" s="730"/>
      <c r="G478" s="730"/>
      <c r="H478" s="731"/>
    </row>
    <row r="479" spans="2:9" ht="23.25" thickBot="1" x14ac:dyDescent="0.3">
      <c r="B479" s="732" t="s">
        <v>37</v>
      </c>
      <c r="C479" s="733"/>
      <c r="D479" s="734" t="s">
        <v>38</v>
      </c>
      <c r="E479" s="735"/>
      <c r="F479" s="146" t="s">
        <v>39</v>
      </c>
      <c r="G479" s="106"/>
      <c r="H479" s="107" t="s">
        <v>42</v>
      </c>
    </row>
    <row r="480" spans="2:9" x14ac:dyDescent="0.25">
      <c r="B480" s="873" t="s">
        <v>82</v>
      </c>
      <c r="C480" s="874"/>
      <c r="D480" s="738" t="str">
        <f>CENIK_št_1!B100</f>
        <v>Traktorska prikolica</v>
      </c>
      <c r="E480" s="739"/>
      <c r="F480" s="185">
        <v>12000</v>
      </c>
      <c r="G480" s="163"/>
      <c r="H480" s="163"/>
    </row>
    <row r="481" spans="2:8" x14ac:dyDescent="0.25">
      <c r="B481" s="110"/>
      <c r="C481" s="111"/>
      <c r="D481" s="740" t="s">
        <v>223</v>
      </c>
      <c r="E481" s="741"/>
      <c r="F481" s="167">
        <v>84</v>
      </c>
      <c r="G481" s="168"/>
      <c r="H481" s="166"/>
    </row>
    <row r="482" spans="2:8" ht="17.25" customHeight="1" x14ac:dyDescent="0.25">
      <c r="B482" s="742"/>
      <c r="C482" s="743"/>
      <c r="D482" s="753" t="s">
        <v>229</v>
      </c>
      <c r="E482" s="872"/>
      <c r="F482" s="154"/>
      <c r="G482" s="116">
        <v>30</v>
      </c>
      <c r="H482" s="164"/>
    </row>
    <row r="483" spans="2:8" ht="22.5" customHeight="1" x14ac:dyDescent="0.25">
      <c r="B483" s="742"/>
      <c r="C483" s="743"/>
      <c r="D483" s="748" t="s">
        <v>228</v>
      </c>
      <c r="E483" s="869"/>
      <c r="F483" s="154"/>
      <c r="G483" s="112">
        <v>4</v>
      </c>
      <c r="H483" s="113">
        <f>G483*G482</f>
        <v>120</v>
      </c>
    </row>
    <row r="484" spans="2:8" ht="25.5" customHeight="1" thickBot="1" x14ac:dyDescent="0.3">
      <c r="B484" s="742"/>
      <c r="C484" s="743"/>
      <c r="D484" s="753" t="s">
        <v>174</v>
      </c>
      <c r="E484" s="872"/>
      <c r="F484" s="155"/>
      <c r="G484" s="120"/>
      <c r="H484" s="119">
        <f>F480/F481</f>
        <v>142.85714285714286</v>
      </c>
    </row>
    <row r="485" spans="2:8" ht="15.75" thickTop="1" x14ac:dyDescent="0.25">
      <c r="B485" s="742"/>
      <c r="C485" s="743"/>
      <c r="D485" s="870" t="s">
        <v>167</v>
      </c>
      <c r="E485" s="871"/>
      <c r="F485" s="154"/>
      <c r="G485" s="120"/>
      <c r="H485" s="156">
        <f>SUM(H483:H484)</f>
        <v>262.85714285714289</v>
      </c>
    </row>
    <row r="486" spans="2:8" ht="24.75" customHeight="1" thickBot="1" x14ac:dyDescent="0.3">
      <c r="B486" s="721"/>
      <c r="C486" s="722"/>
      <c r="D486" s="770" t="s">
        <v>230</v>
      </c>
      <c r="E486" s="771"/>
      <c r="F486" s="157"/>
      <c r="G486" s="159"/>
      <c r="H486" s="115">
        <f>(H485/G482)*0.05</f>
        <v>0.43809523809523815</v>
      </c>
    </row>
    <row r="487" spans="2:8" ht="15.75" thickBot="1" x14ac:dyDescent="0.3">
      <c r="B487" s="725"/>
      <c r="C487" s="726"/>
      <c r="D487" s="727" t="s">
        <v>41</v>
      </c>
      <c r="E487" s="728"/>
      <c r="F487" s="160"/>
      <c r="G487" s="161"/>
      <c r="H487" s="131">
        <f>(H485/G482)+H486</f>
        <v>9.2000000000000011</v>
      </c>
    </row>
    <row r="488" spans="2:8" ht="15.75" thickBot="1" x14ac:dyDescent="0.3">
      <c r="B488" s="132"/>
      <c r="C488" s="132"/>
      <c r="D488" s="133"/>
      <c r="E488" s="133"/>
      <c r="F488" s="162"/>
      <c r="G488" s="134"/>
      <c r="H488" s="136"/>
    </row>
    <row r="489" spans="2:8" ht="15.75" thickBot="1" x14ac:dyDescent="0.3">
      <c r="B489" s="145" t="s">
        <v>77</v>
      </c>
      <c r="C489" s="729" t="str">
        <f>C478</f>
        <v>PRIKLJUČKI ZA TOVORNA VOZILA IN TRAKTORJE</v>
      </c>
      <c r="D489" s="730"/>
      <c r="E489" s="730"/>
      <c r="F489" s="730"/>
      <c r="G489" s="730"/>
      <c r="H489" s="731"/>
    </row>
    <row r="490" spans="2:8" ht="23.25" thickBot="1" x14ac:dyDescent="0.3">
      <c r="B490" s="732" t="s">
        <v>37</v>
      </c>
      <c r="C490" s="795"/>
      <c r="D490" s="734" t="s">
        <v>38</v>
      </c>
      <c r="E490" s="802"/>
      <c r="F490" s="146" t="s">
        <v>39</v>
      </c>
      <c r="G490" s="106"/>
      <c r="H490" s="107" t="s">
        <v>42</v>
      </c>
    </row>
    <row r="491" spans="2:8" ht="23.25" customHeight="1" x14ac:dyDescent="0.25">
      <c r="B491" s="736" t="s">
        <v>83</v>
      </c>
      <c r="C491" s="757"/>
      <c r="D491" s="738" t="str">
        <f>CENIK_št_1!B101</f>
        <v>Bočna traktorska kosilnica (mulčar)</v>
      </c>
      <c r="E491" s="739"/>
      <c r="F491" s="185">
        <v>23000</v>
      </c>
      <c r="G491" s="163"/>
      <c r="H491" s="163"/>
    </row>
    <row r="492" spans="2:8" ht="15" customHeight="1" x14ac:dyDescent="0.25">
      <c r="B492" s="110"/>
      <c r="C492" s="111"/>
      <c r="D492" s="740" t="s">
        <v>223</v>
      </c>
      <c r="E492" s="779"/>
      <c r="F492" s="167">
        <v>96</v>
      </c>
      <c r="G492" s="168"/>
      <c r="H492" s="166"/>
    </row>
    <row r="493" spans="2:8" ht="17.25" customHeight="1" x14ac:dyDescent="0.25">
      <c r="B493" s="803"/>
      <c r="C493" s="804"/>
      <c r="D493" s="758" t="s">
        <v>229</v>
      </c>
      <c r="E493" s="759"/>
      <c r="F493" s="154"/>
      <c r="G493" s="116">
        <v>20</v>
      </c>
      <c r="H493" s="164"/>
    </row>
    <row r="494" spans="2:8" ht="27" customHeight="1" x14ac:dyDescent="0.25">
      <c r="B494" s="803"/>
      <c r="C494" s="804"/>
      <c r="D494" s="780" t="s">
        <v>228</v>
      </c>
      <c r="E494" s="781"/>
      <c r="F494" s="154"/>
      <c r="G494" s="112">
        <v>6</v>
      </c>
      <c r="H494" s="113">
        <f>G494*G493</f>
        <v>120</v>
      </c>
    </row>
    <row r="495" spans="2:8" ht="25.5" customHeight="1" thickBot="1" x14ac:dyDescent="0.3">
      <c r="B495" s="803"/>
      <c r="C495" s="804"/>
      <c r="D495" s="758" t="s">
        <v>174</v>
      </c>
      <c r="E495" s="759"/>
      <c r="F495" s="155"/>
      <c r="G495" s="120"/>
      <c r="H495" s="119">
        <f>F491/F492</f>
        <v>239.58333333333334</v>
      </c>
    </row>
    <row r="496" spans="2:8" ht="15.75" thickTop="1" x14ac:dyDescent="0.25">
      <c r="B496" s="803"/>
      <c r="C496" s="804"/>
      <c r="D496" s="762" t="s">
        <v>167</v>
      </c>
      <c r="E496" s="763"/>
      <c r="F496" s="154"/>
      <c r="G496" s="120"/>
      <c r="H496" s="156">
        <f>SUM(H494:H495)</f>
        <v>359.58333333333337</v>
      </c>
    </row>
    <row r="497" spans="2:8" ht="24.75" customHeight="1" thickBot="1" x14ac:dyDescent="0.3">
      <c r="B497" s="775"/>
      <c r="C497" s="776"/>
      <c r="D497" s="766" t="s">
        <v>230</v>
      </c>
      <c r="E497" s="767"/>
      <c r="F497" s="157"/>
      <c r="G497" s="159"/>
      <c r="H497" s="115">
        <f>(H496/G493)*0.05</f>
        <v>0.89895833333333341</v>
      </c>
    </row>
    <row r="498" spans="2:8" ht="15.75" thickBot="1" x14ac:dyDescent="0.3">
      <c r="B498" s="725"/>
      <c r="C498" s="726"/>
      <c r="D498" s="727" t="s">
        <v>41</v>
      </c>
      <c r="E498" s="728"/>
      <c r="F498" s="160"/>
      <c r="G498" s="161"/>
      <c r="H498" s="131">
        <f>(H496/G493)+H497</f>
        <v>18.878125000000001</v>
      </c>
    </row>
    <row r="499" spans="2:8" ht="15.75" thickBot="1" x14ac:dyDescent="0.3">
      <c r="B499" s="132"/>
      <c r="C499" s="132"/>
      <c r="D499" s="133"/>
      <c r="E499" s="133"/>
      <c r="F499" s="162"/>
      <c r="G499" s="134"/>
      <c r="H499" s="136"/>
    </row>
    <row r="500" spans="2:8" ht="15.75" thickBot="1" x14ac:dyDescent="0.3">
      <c r="B500" s="145" t="s">
        <v>77</v>
      </c>
      <c r="C500" s="729" t="str">
        <f>C489</f>
        <v>PRIKLJUČKI ZA TOVORNA VOZILA IN TRAKTORJE</v>
      </c>
      <c r="D500" s="730"/>
      <c r="E500" s="730"/>
      <c r="F500" s="730"/>
      <c r="G500" s="730"/>
      <c r="H500" s="731"/>
    </row>
    <row r="501" spans="2:8" ht="23.25" thickBot="1" x14ac:dyDescent="0.3">
      <c r="B501" s="732" t="s">
        <v>37</v>
      </c>
      <c r="C501" s="795"/>
      <c r="D501" s="734" t="s">
        <v>38</v>
      </c>
      <c r="E501" s="802"/>
      <c r="F501" s="146" t="s">
        <v>39</v>
      </c>
      <c r="G501" s="106"/>
      <c r="H501" s="107" t="s">
        <v>42</v>
      </c>
    </row>
    <row r="502" spans="2:8" ht="23.25" customHeight="1" x14ac:dyDescent="0.25">
      <c r="B502" s="736" t="s">
        <v>84</v>
      </c>
      <c r="C502" s="757"/>
      <c r="D502" s="738" t="str">
        <f>CENIK_št_1!B102</f>
        <v>Tovorna prikolica do 750 kg sdm</v>
      </c>
      <c r="E502" s="739"/>
      <c r="F502" s="185">
        <v>3000</v>
      </c>
      <c r="G502" s="163"/>
      <c r="H502" s="163"/>
    </row>
    <row r="503" spans="2:8" ht="15" customHeight="1" x14ac:dyDescent="0.25">
      <c r="B503" s="110"/>
      <c r="C503" s="111"/>
      <c r="D503" s="740" t="s">
        <v>223</v>
      </c>
      <c r="E503" s="779"/>
      <c r="F503" s="167">
        <v>96</v>
      </c>
      <c r="G503" s="168"/>
      <c r="H503" s="166"/>
    </row>
    <row r="504" spans="2:8" ht="17.25" customHeight="1" x14ac:dyDescent="0.25">
      <c r="B504" s="803"/>
      <c r="C504" s="804"/>
      <c r="D504" s="758" t="s">
        <v>229</v>
      </c>
      <c r="E504" s="759"/>
      <c r="F504" s="154"/>
      <c r="G504" s="116">
        <v>25</v>
      </c>
      <c r="H504" s="164"/>
    </row>
    <row r="505" spans="2:8" ht="23.25" customHeight="1" x14ac:dyDescent="0.25">
      <c r="B505" s="803"/>
      <c r="C505" s="804"/>
      <c r="D505" s="780" t="s">
        <v>228</v>
      </c>
      <c r="E505" s="781"/>
      <c r="F505" s="154"/>
      <c r="G505" s="112">
        <v>1.5</v>
      </c>
      <c r="H505" s="113">
        <f>G505*G504</f>
        <v>37.5</v>
      </c>
    </row>
    <row r="506" spans="2:8" ht="25.5" customHeight="1" thickBot="1" x14ac:dyDescent="0.3">
      <c r="B506" s="803"/>
      <c r="C506" s="804"/>
      <c r="D506" s="758" t="s">
        <v>174</v>
      </c>
      <c r="E506" s="759"/>
      <c r="F506" s="155"/>
      <c r="G506" s="120"/>
      <c r="H506" s="119">
        <f>F502/F503</f>
        <v>31.25</v>
      </c>
    </row>
    <row r="507" spans="2:8" ht="15.75" thickTop="1" x14ac:dyDescent="0.25">
      <c r="B507" s="803"/>
      <c r="C507" s="804"/>
      <c r="D507" s="762" t="s">
        <v>167</v>
      </c>
      <c r="E507" s="763"/>
      <c r="F507" s="154"/>
      <c r="G507" s="120"/>
      <c r="H507" s="156">
        <f>SUM(H505:H506)</f>
        <v>68.75</v>
      </c>
    </row>
    <row r="508" spans="2:8" ht="24.75" customHeight="1" thickBot="1" x14ac:dyDescent="0.3">
      <c r="B508" s="775"/>
      <c r="C508" s="776"/>
      <c r="D508" s="766" t="s">
        <v>230</v>
      </c>
      <c r="E508" s="767"/>
      <c r="F508" s="157"/>
      <c r="G508" s="159"/>
      <c r="H508" s="115">
        <f>(H507/G504)*0.05</f>
        <v>0.13750000000000001</v>
      </c>
    </row>
    <row r="509" spans="2:8" ht="15.75" thickBot="1" x14ac:dyDescent="0.3">
      <c r="B509" s="725"/>
      <c r="C509" s="726"/>
      <c r="D509" s="727" t="s">
        <v>41</v>
      </c>
      <c r="E509" s="728"/>
      <c r="F509" s="160"/>
      <c r="G509" s="161"/>
      <c r="H509" s="131">
        <f>(H507/G504)+H508</f>
        <v>2.8875000000000002</v>
      </c>
    </row>
    <row r="510" spans="2:8" ht="15.75" thickBot="1" x14ac:dyDescent="0.3">
      <c r="B510" s="132"/>
      <c r="C510" s="132"/>
      <c r="D510" s="133"/>
      <c r="E510" s="133"/>
      <c r="F510" s="162"/>
      <c r="G510" s="134"/>
      <c r="H510" s="136"/>
    </row>
    <row r="511" spans="2:8" ht="15.75" thickBot="1" x14ac:dyDescent="0.3">
      <c r="B511" s="145" t="s">
        <v>77</v>
      </c>
      <c r="C511" s="729" t="str">
        <f>C500</f>
        <v>PRIKLJUČKI ZA TOVORNA VOZILA IN TRAKTORJE</v>
      </c>
      <c r="D511" s="730"/>
      <c r="E511" s="730"/>
      <c r="F511" s="730"/>
      <c r="G511" s="730"/>
      <c r="H511" s="731"/>
    </row>
    <row r="512" spans="2:8" ht="23.25" thickBot="1" x14ac:dyDescent="0.3">
      <c r="B512" s="732" t="s">
        <v>37</v>
      </c>
      <c r="C512" s="795"/>
      <c r="D512" s="734" t="s">
        <v>38</v>
      </c>
      <c r="E512" s="802"/>
      <c r="F512" s="146" t="s">
        <v>39</v>
      </c>
      <c r="G512" s="106"/>
      <c r="H512" s="107" t="s">
        <v>42</v>
      </c>
    </row>
    <row r="513" spans="2:8" ht="23.25" customHeight="1" x14ac:dyDescent="0.25">
      <c r="B513" s="736" t="s">
        <v>85</v>
      </c>
      <c r="C513" s="757"/>
      <c r="D513" s="738" t="str">
        <f>CENIK_št_1!B103</f>
        <v>Tovorna prikolica do 3,5 t sdm</v>
      </c>
      <c r="E513" s="739"/>
      <c r="F513" s="185">
        <v>6000</v>
      </c>
      <c r="G513" s="163"/>
      <c r="H513" s="163"/>
    </row>
    <row r="514" spans="2:8" ht="15" customHeight="1" x14ac:dyDescent="0.25">
      <c r="B514" s="110"/>
      <c r="C514" s="111"/>
      <c r="D514" s="740" t="s">
        <v>223</v>
      </c>
      <c r="E514" s="779"/>
      <c r="F514" s="167">
        <v>70</v>
      </c>
      <c r="G514" s="168"/>
      <c r="H514" s="166"/>
    </row>
    <row r="515" spans="2:8" ht="17.25" customHeight="1" x14ac:dyDescent="0.25">
      <c r="B515" s="803"/>
      <c r="C515" s="804"/>
      <c r="D515" s="758" t="s">
        <v>229</v>
      </c>
      <c r="E515" s="759"/>
      <c r="F515" s="154"/>
      <c r="G515" s="116">
        <v>20</v>
      </c>
      <c r="H515" s="164"/>
    </row>
    <row r="516" spans="2:8" ht="23.25" customHeight="1" x14ac:dyDescent="0.25">
      <c r="B516" s="803"/>
      <c r="C516" s="804"/>
      <c r="D516" s="780" t="s">
        <v>228</v>
      </c>
      <c r="E516" s="781"/>
      <c r="F516" s="154"/>
      <c r="G516" s="112">
        <v>2.5</v>
      </c>
      <c r="H516" s="113">
        <f>G516*G515</f>
        <v>50</v>
      </c>
    </row>
    <row r="517" spans="2:8" ht="25.5" customHeight="1" thickBot="1" x14ac:dyDescent="0.3">
      <c r="B517" s="803"/>
      <c r="C517" s="804"/>
      <c r="D517" s="758" t="s">
        <v>174</v>
      </c>
      <c r="E517" s="759"/>
      <c r="F517" s="155"/>
      <c r="G517" s="120"/>
      <c r="H517" s="119">
        <f>F513/F514</f>
        <v>85.714285714285708</v>
      </c>
    </row>
    <row r="518" spans="2:8" ht="15.75" thickTop="1" x14ac:dyDescent="0.25">
      <c r="B518" s="803"/>
      <c r="C518" s="804"/>
      <c r="D518" s="762" t="s">
        <v>167</v>
      </c>
      <c r="E518" s="763"/>
      <c r="F518" s="154"/>
      <c r="G518" s="120"/>
      <c r="H518" s="156">
        <f>SUM(H516:H517)</f>
        <v>135.71428571428572</v>
      </c>
    </row>
    <row r="519" spans="2:8" ht="24.75" customHeight="1" thickBot="1" x14ac:dyDescent="0.3">
      <c r="B519" s="775"/>
      <c r="C519" s="776"/>
      <c r="D519" s="766" t="s">
        <v>230</v>
      </c>
      <c r="E519" s="767"/>
      <c r="F519" s="157"/>
      <c r="G519" s="159"/>
      <c r="H519" s="115">
        <f>(H518/G515)*0.05</f>
        <v>0.33928571428571436</v>
      </c>
    </row>
    <row r="520" spans="2:8" ht="15.75" thickBot="1" x14ac:dyDescent="0.3">
      <c r="B520" s="725"/>
      <c r="C520" s="726"/>
      <c r="D520" s="727" t="s">
        <v>41</v>
      </c>
      <c r="E520" s="728"/>
      <c r="F520" s="160"/>
      <c r="G520" s="161"/>
      <c r="H520" s="131">
        <f>(H518/G515)+H519</f>
        <v>7.1250000000000009</v>
      </c>
    </row>
    <row r="521" spans="2:8" ht="15.75" thickBot="1" x14ac:dyDescent="0.3">
      <c r="B521" s="132"/>
      <c r="C521" s="132"/>
      <c r="D521" s="133"/>
      <c r="E521" s="133"/>
      <c r="F521" s="162"/>
      <c r="G521" s="134"/>
      <c r="H521" s="136"/>
    </row>
    <row r="522" spans="2:8" ht="15.75" thickBot="1" x14ac:dyDescent="0.3">
      <c r="B522" s="48" t="s">
        <v>77</v>
      </c>
      <c r="C522" s="663" t="str">
        <f>C511</f>
        <v>PRIKLJUČKI ZA TOVORNA VOZILA IN TRAKTORJE</v>
      </c>
      <c r="D522" s="664"/>
      <c r="E522" s="664"/>
      <c r="F522" s="664"/>
      <c r="G522" s="664"/>
      <c r="H522" s="665"/>
    </row>
    <row r="523" spans="2:8" ht="23.25" thickBot="1" x14ac:dyDescent="0.3">
      <c r="B523" s="755" t="s">
        <v>37</v>
      </c>
      <c r="C523" s="756"/>
      <c r="D523" s="800" t="s">
        <v>38</v>
      </c>
      <c r="E523" s="801"/>
      <c r="F523" s="205" t="s">
        <v>39</v>
      </c>
      <c r="G523" s="54"/>
      <c r="H523" s="55" t="s">
        <v>42</v>
      </c>
    </row>
    <row r="524" spans="2:8" x14ac:dyDescent="0.25">
      <c r="B524" s="736" t="s">
        <v>495</v>
      </c>
      <c r="C524" s="757"/>
      <c r="D524" s="738" t="str">
        <f>CENIK_št_1!B104</f>
        <v>Plug planer, nakladalec traktorski</v>
      </c>
      <c r="E524" s="739"/>
      <c r="F524" s="220">
        <v>8400</v>
      </c>
      <c r="G524" s="221"/>
      <c r="H524" s="221"/>
    </row>
    <row r="525" spans="2:8" x14ac:dyDescent="0.25">
      <c r="B525" s="60"/>
      <c r="C525" s="61"/>
      <c r="D525" s="793" t="s">
        <v>223</v>
      </c>
      <c r="E525" s="794"/>
      <c r="F525" s="222">
        <v>70</v>
      </c>
      <c r="G525" s="223"/>
      <c r="H525" s="166"/>
    </row>
    <row r="526" spans="2:8" x14ac:dyDescent="0.25">
      <c r="B526" s="760"/>
      <c r="C526" s="761"/>
      <c r="D526" s="758" t="s">
        <v>229</v>
      </c>
      <c r="E526" s="759"/>
      <c r="F526" s="213"/>
      <c r="G526" s="31">
        <v>20</v>
      </c>
      <c r="H526" s="224"/>
    </row>
    <row r="527" spans="2:8" ht="22.5" customHeight="1" x14ac:dyDescent="0.25">
      <c r="B527" s="760"/>
      <c r="C527" s="761"/>
      <c r="D527" s="780" t="s">
        <v>228</v>
      </c>
      <c r="E527" s="781"/>
      <c r="F527" s="213"/>
      <c r="G527" s="28">
        <v>3.5</v>
      </c>
      <c r="H527" s="29">
        <f>G527*G526</f>
        <v>70</v>
      </c>
    </row>
    <row r="528" spans="2:8" ht="15.75" thickBot="1" x14ac:dyDescent="0.3">
      <c r="B528" s="760"/>
      <c r="C528" s="761"/>
      <c r="D528" s="758" t="s">
        <v>174</v>
      </c>
      <c r="E528" s="759"/>
      <c r="F528" s="214"/>
      <c r="G528" s="27"/>
      <c r="H528" s="30">
        <f>F524/F525</f>
        <v>120</v>
      </c>
    </row>
    <row r="529" spans="2:9" ht="15.75" thickTop="1" x14ac:dyDescent="0.25">
      <c r="B529" s="760"/>
      <c r="C529" s="761"/>
      <c r="D529" s="762" t="s">
        <v>167</v>
      </c>
      <c r="E529" s="763"/>
      <c r="F529" s="213"/>
      <c r="G529" s="27"/>
      <c r="H529" s="215">
        <f>SUM(H527:H528)</f>
        <v>190</v>
      </c>
    </row>
    <row r="530" spans="2:9" ht="15.75" thickBot="1" x14ac:dyDescent="0.3">
      <c r="B530" s="764"/>
      <c r="C530" s="765"/>
      <c r="D530" s="766" t="s">
        <v>230</v>
      </c>
      <c r="E530" s="767"/>
      <c r="F530" s="216"/>
      <c r="G530" s="217"/>
      <c r="H530" s="33">
        <f>(H529/G526)*0.05</f>
        <v>0.47500000000000003</v>
      </c>
    </row>
    <row r="531" spans="2:9" ht="15.75" thickBot="1" x14ac:dyDescent="0.3">
      <c r="B531" s="772"/>
      <c r="C531" s="773"/>
      <c r="D531" s="754" t="s">
        <v>41</v>
      </c>
      <c r="E531" s="774"/>
      <c r="F531" s="218"/>
      <c r="G531" s="219"/>
      <c r="H531" s="56">
        <f>(H529/G526)+H530</f>
        <v>9.9749999999999996</v>
      </c>
    </row>
    <row r="532" spans="2:9" ht="15.75" thickBot="1" x14ac:dyDescent="0.3">
      <c r="B532" s="349"/>
      <c r="C532" s="349"/>
      <c r="D532" s="350"/>
      <c r="E532" s="350"/>
      <c r="F532" s="351"/>
      <c r="G532" s="352"/>
      <c r="H532" s="353"/>
      <c r="I532" s="144"/>
    </row>
    <row r="533" spans="2:9" ht="16.5" thickTop="1" thickBot="1" x14ac:dyDescent="0.3"/>
    <row r="534" spans="2:9" ht="15.75" thickBot="1" x14ac:dyDescent="0.3">
      <c r="B534" s="48" t="s">
        <v>92</v>
      </c>
      <c r="C534" s="729" t="str">
        <f>CENIK_št_1!B107</f>
        <v>STROJNO ORODJE (cena brez operaterja)</v>
      </c>
      <c r="D534" s="730"/>
      <c r="E534" s="730"/>
      <c r="F534" s="730"/>
      <c r="G534" s="730"/>
      <c r="H534" s="730"/>
      <c r="I534" s="731"/>
    </row>
    <row r="535" spans="2:9" ht="23.25" thickBot="1" x14ac:dyDescent="0.3">
      <c r="B535" s="732" t="s">
        <v>37</v>
      </c>
      <c r="C535" s="733"/>
      <c r="D535" s="734" t="s">
        <v>38</v>
      </c>
      <c r="E535" s="735"/>
      <c r="F535" s="146" t="s">
        <v>39</v>
      </c>
      <c r="G535" s="106" t="s">
        <v>40</v>
      </c>
      <c r="H535" s="106" t="s">
        <v>41</v>
      </c>
      <c r="I535" s="107" t="s">
        <v>42</v>
      </c>
    </row>
    <row r="536" spans="2:9" x14ac:dyDescent="0.25">
      <c r="B536" s="736" t="s">
        <v>93</v>
      </c>
      <c r="C536" s="737"/>
      <c r="D536" s="738" t="str">
        <f>CENIK_št_1!B108</f>
        <v>Kosilnica širine 100cm</v>
      </c>
      <c r="E536" s="739"/>
      <c r="F536" s="147">
        <v>18000</v>
      </c>
      <c r="G536" s="148"/>
      <c r="H536" s="148"/>
      <c r="I536" s="149"/>
    </row>
    <row r="537" spans="2:9" x14ac:dyDescent="0.25">
      <c r="B537" s="110"/>
      <c r="C537" s="111"/>
      <c r="D537" s="740" t="s">
        <v>223</v>
      </c>
      <c r="E537" s="741"/>
      <c r="F537" s="150">
        <v>96</v>
      </c>
      <c r="G537" s="151"/>
      <c r="H537" s="151"/>
      <c r="I537" s="152"/>
    </row>
    <row r="538" spans="2:9" x14ac:dyDescent="0.25">
      <c r="B538" s="110"/>
      <c r="C538" s="111"/>
      <c r="D538" s="740" t="s">
        <v>222</v>
      </c>
      <c r="E538" s="741"/>
      <c r="F538" s="150">
        <v>30</v>
      </c>
      <c r="G538" s="151"/>
      <c r="H538" s="151"/>
      <c r="I538" s="152"/>
    </row>
    <row r="539" spans="2:9" ht="23.25" customHeight="1" x14ac:dyDescent="0.25">
      <c r="B539" s="742"/>
      <c r="C539" s="743"/>
      <c r="D539" s="746" t="s">
        <v>226</v>
      </c>
      <c r="E539" s="747"/>
      <c r="F539" s="154"/>
      <c r="G539" s="120"/>
      <c r="H539" s="112">
        <v>3.5</v>
      </c>
      <c r="I539" s="113">
        <f>F538*H539</f>
        <v>105</v>
      </c>
    </row>
    <row r="540" spans="2:9" x14ac:dyDescent="0.25">
      <c r="B540" s="742"/>
      <c r="C540" s="743"/>
      <c r="D540" s="753" t="s">
        <v>231</v>
      </c>
      <c r="E540" s="745"/>
      <c r="F540" s="154"/>
      <c r="G540" s="120">
        <v>3</v>
      </c>
      <c r="H540" s="112">
        <v>1.51</v>
      </c>
      <c r="I540" s="122">
        <f>F538*G540*H540</f>
        <v>135.9</v>
      </c>
    </row>
    <row r="541" spans="2:9" ht="15.75" thickBot="1" x14ac:dyDescent="0.3">
      <c r="B541" s="742"/>
      <c r="C541" s="743"/>
      <c r="D541" s="744" t="s">
        <v>174</v>
      </c>
      <c r="E541" s="745"/>
      <c r="F541" s="155"/>
      <c r="G541" s="120"/>
      <c r="H541" s="120"/>
      <c r="I541" s="119">
        <f>F536/F537</f>
        <v>187.5</v>
      </c>
    </row>
    <row r="542" spans="2:9" ht="15.75" thickTop="1" x14ac:dyDescent="0.25">
      <c r="B542" s="742"/>
      <c r="C542" s="743"/>
      <c r="D542" s="749" t="s">
        <v>167</v>
      </c>
      <c r="E542" s="750"/>
      <c r="F542" s="154"/>
      <c r="G542" s="120"/>
      <c r="H542" s="120"/>
      <c r="I542" s="156">
        <f>SUM(I539:I541)</f>
        <v>428.4</v>
      </c>
    </row>
    <row r="543" spans="2:9" ht="15.75" thickBot="1" x14ac:dyDescent="0.3">
      <c r="B543" s="721"/>
      <c r="C543" s="722"/>
      <c r="D543" s="723" t="s">
        <v>221</v>
      </c>
      <c r="E543" s="724"/>
      <c r="F543" s="157"/>
      <c r="G543" s="158"/>
      <c r="H543" s="159"/>
      <c r="I543" s="115">
        <f>(I542/F538)*0.05</f>
        <v>0.71399999999999997</v>
      </c>
    </row>
    <row r="544" spans="2:9" ht="15.75" thickBot="1" x14ac:dyDescent="0.3">
      <c r="B544" s="725"/>
      <c r="C544" s="726"/>
      <c r="D544" s="727" t="s">
        <v>41</v>
      </c>
      <c r="E544" s="728"/>
      <c r="F544" s="160"/>
      <c r="G544" s="129"/>
      <c r="H544" s="161"/>
      <c r="I544" s="131">
        <f>(I542/F538)+I543</f>
        <v>14.994</v>
      </c>
    </row>
    <row r="545" spans="2:9" ht="15.75" thickBot="1" x14ac:dyDescent="0.3"/>
    <row r="546" spans="2:9" ht="15.75" thickBot="1" x14ac:dyDescent="0.3">
      <c r="B546" s="48" t="s">
        <v>92</v>
      </c>
      <c r="C546" s="729" t="str">
        <f>CENIK_št_1!B107</f>
        <v>STROJNO ORODJE (cena brez operaterja)</v>
      </c>
      <c r="D546" s="730"/>
      <c r="E546" s="730"/>
      <c r="F546" s="730"/>
      <c r="G546" s="730"/>
      <c r="H546" s="730"/>
      <c r="I546" s="731"/>
    </row>
    <row r="547" spans="2:9" ht="23.25" thickBot="1" x14ac:dyDescent="0.3">
      <c r="B547" s="732" t="s">
        <v>37</v>
      </c>
      <c r="C547" s="733"/>
      <c r="D547" s="734" t="s">
        <v>38</v>
      </c>
      <c r="E547" s="735"/>
      <c r="F547" s="146" t="s">
        <v>39</v>
      </c>
      <c r="G547" s="106" t="s">
        <v>40</v>
      </c>
      <c r="H547" s="106" t="s">
        <v>41</v>
      </c>
      <c r="I547" s="107" t="s">
        <v>42</v>
      </c>
    </row>
    <row r="548" spans="2:9" ht="27" customHeight="1" x14ac:dyDescent="0.25">
      <c r="B548" s="736" t="s">
        <v>94</v>
      </c>
      <c r="C548" s="737"/>
      <c r="D548" s="738" t="str">
        <f>CENIK_št_1!B109</f>
        <v>Enoosni traktor z mulčarjem ali puhalom</v>
      </c>
      <c r="E548" s="739"/>
      <c r="F548" s="147">
        <v>25000</v>
      </c>
      <c r="G548" s="148"/>
      <c r="H548" s="148"/>
      <c r="I548" s="149"/>
    </row>
    <row r="549" spans="2:9" x14ac:dyDescent="0.25">
      <c r="B549" s="110"/>
      <c r="C549" s="111"/>
      <c r="D549" s="740" t="s">
        <v>223</v>
      </c>
      <c r="E549" s="741"/>
      <c r="F549" s="150">
        <v>84</v>
      </c>
      <c r="G549" s="151"/>
      <c r="H549" s="151"/>
      <c r="I549" s="152"/>
    </row>
    <row r="550" spans="2:9" x14ac:dyDescent="0.25">
      <c r="B550" s="110"/>
      <c r="C550" s="111"/>
      <c r="D550" s="740" t="s">
        <v>222</v>
      </c>
      <c r="E550" s="741"/>
      <c r="F550" s="150">
        <v>22.8</v>
      </c>
      <c r="G550" s="151"/>
      <c r="H550" s="151"/>
      <c r="I550" s="152"/>
    </row>
    <row r="551" spans="2:9" ht="24.75" customHeight="1" x14ac:dyDescent="0.25">
      <c r="B551" s="742"/>
      <c r="C551" s="743"/>
      <c r="D551" s="746" t="s">
        <v>226</v>
      </c>
      <c r="E551" s="747"/>
      <c r="F551" s="154"/>
      <c r="G551" s="120"/>
      <c r="H551" s="112">
        <v>3.5</v>
      </c>
      <c r="I551" s="113">
        <f>F550*H551</f>
        <v>79.8</v>
      </c>
    </row>
    <row r="552" spans="2:9" ht="24" customHeight="1" x14ac:dyDescent="0.25">
      <c r="B552" s="742"/>
      <c r="C552" s="743"/>
      <c r="D552" s="753" t="s">
        <v>359</v>
      </c>
      <c r="E552" s="745"/>
      <c r="F552" s="154"/>
      <c r="G552" s="120">
        <v>3</v>
      </c>
      <c r="H552" s="112">
        <v>1.51</v>
      </c>
      <c r="I552" s="122">
        <f>F550*G552*H552</f>
        <v>103.28400000000001</v>
      </c>
    </row>
    <row r="553" spans="2:9" ht="15.75" thickBot="1" x14ac:dyDescent="0.3">
      <c r="B553" s="742"/>
      <c r="C553" s="743"/>
      <c r="D553" s="744" t="s">
        <v>174</v>
      </c>
      <c r="E553" s="745"/>
      <c r="F553" s="155"/>
      <c r="G553" s="120"/>
      <c r="H553" s="120"/>
      <c r="I553" s="119">
        <f>F548/F549</f>
        <v>297.61904761904759</v>
      </c>
    </row>
    <row r="554" spans="2:9" ht="15.75" thickTop="1" x14ac:dyDescent="0.25">
      <c r="B554" s="742"/>
      <c r="C554" s="743"/>
      <c r="D554" s="749" t="s">
        <v>167</v>
      </c>
      <c r="E554" s="750"/>
      <c r="F554" s="154"/>
      <c r="G554" s="120"/>
      <c r="H554" s="120"/>
      <c r="I554" s="156">
        <f>SUM(I551:I553)</f>
        <v>480.7030476190476</v>
      </c>
    </row>
    <row r="555" spans="2:9" ht="15.75" thickBot="1" x14ac:dyDescent="0.3">
      <c r="B555" s="721"/>
      <c r="C555" s="722"/>
      <c r="D555" s="723" t="s">
        <v>221</v>
      </c>
      <c r="E555" s="724"/>
      <c r="F555" s="157"/>
      <c r="G555" s="158"/>
      <c r="H555" s="159"/>
      <c r="I555" s="115">
        <f>(I554/F550)*0.05</f>
        <v>1.0541733500417709</v>
      </c>
    </row>
    <row r="556" spans="2:9" ht="15.75" thickBot="1" x14ac:dyDescent="0.3">
      <c r="B556" s="725"/>
      <c r="C556" s="726"/>
      <c r="D556" s="727" t="s">
        <v>41</v>
      </c>
      <c r="E556" s="728"/>
      <c r="F556" s="160"/>
      <c r="G556" s="129"/>
      <c r="H556" s="161"/>
      <c r="I556" s="131">
        <f>(I554/F550)+I555</f>
        <v>22.137640350877192</v>
      </c>
    </row>
    <row r="557" spans="2:9" x14ac:dyDescent="0.25">
      <c r="B557" s="132"/>
      <c r="C557" s="132"/>
      <c r="D557" s="133"/>
      <c r="E557" s="133"/>
      <c r="F557" s="162"/>
      <c r="G557" s="134"/>
      <c r="H557" s="134"/>
      <c r="I557" s="136"/>
    </row>
    <row r="558" spans="2:9" ht="15.75" thickBot="1" x14ac:dyDescent="0.3"/>
    <row r="559" spans="2:9" ht="15.75" thickBot="1" x14ac:dyDescent="0.3">
      <c r="B559" s="48" t="s">
        <v>92</v>
      </c>
      <c r="C559" s="729" t="str">
        <f>C546</f>
        <v>STROJNO ORODJE (cena brez operaterja)</v>
      </c>
      <c r="D559" s="730"/>
      <c r="E559" s="730"/>
      <c r="F559" s="730"/>
      <c r="G559" s="730"/>
      <c r="H559" s="730"/>
      <c r="I559" s="731"/>
    </row>
    <row r="560" spans="2:9" ht="23.25" thickBot="1" x14ac:dyDescent="0.3">
      <c r="B560" s="732" t="s">
        <v>37</v>
      </c>
      <c r="C560" s="733"/>
      <c r="D560" s="734" t="s">
        <v>38</v>
      </c>
      <c r="E560" s="735"/>
      <c r="F560" s="146" t="s">
        <v>39</v>
      </c>
      <c r="G560" s="106" t="s">
        <v>40</v>
      </c>
      <c r="H560" s="106" t="s">
        <v>41</v>
      </c>
      <c r="I560" s="107" t="s">
        <v>42</v>
      </c>
    </row>
    <row r="561" spans="2:9" x14ac:dyDescent="0.25">
      <c r="B561" s="736" t="s">
        <v>95</v>
      </c>
      <c r="C561" s="737"/>
      <c r="D561" s="738" t="str">
        <f>CENIK_št_1!B110</f>
        <v>Ročna kosilnica mulčar</v>
      </c>
      <c r="E561" s="739"/>
      <c r="F561" s="147">
        <v>1050</v>
      </c>
      <c r="G561" s="148"/>
      <c r="H561" s="148"/>
      <c r="I561" s="149"/>
    </row>
    <row r="562" spans="2:9" x14ac:dyDescent="0.25">
      <c r="B562" s="110"/>
      <c r="C562" s="111"/>
      <c r="D562" s="740" t="s">
        <v>223</v>
      </c>
      <c r="E562" s="741"/>
      <c r="F562" s="150">
        <v>24</v>
      </c>
      <c r="G562" s="151"/>
      <c r="H562" s="151"/>
      <c r="I562" s="152"/>
    </row>
    <row r="563" spans="2:9" x14ac:dyDescent="0.25">
      <c r="B563" s="110"/>
      <c r="C563" s="111"/>
      <c r="D563" s="740" t="s">
        <v>222</v>
      </c>
      <c r="E563" s="741"/>
      <c r="F563" s="150">
        <v>20</v>
      </c>
      <c r="G563" s="151"/>
      <c r="H563" s="151"/>
      <c r="I563" s="152"/>
    </row>
    <row r="564" spans="2:9" ht="24.75" customHeight="1" x14ac:dyDescent="0.25">
      <c r="B564" s="742"/>
      <c r="C564" s="743"/>
      <c r="D564" s="746" t="s">
        <v>226</v>
      </c>
      <c r="E564" s="747"/>
      <c r="F564" s="154"/>
      <c r="G564" s="120"/>
      <c r="H564" s="112">
        <v>3</v>
      </c>
      <c r="I564" s="113">
        <f>F563*H564</f>
        <v>60</v>
      </c>
    </row>
    <row r="565" spans="2:9" ht="21.75" customHeight="1" x14ac:dyDescent="0.25">
      <c r="B565" s="742"/>
      <c r="C565" s="743"/>
      <c r="D565" s="753" t="s">
        <v>359</v>
      </c>
      <c r="E565" s="745"/>
      <c r="F565" s="154"/>
      <c r="G565" s="120">
        <v>2</v>
      </c>
      <c r="H565" s="112">
        <v>1.5109999999999999</v>
      </c>
      <c r="I565" s="122">
        <f>F563*G565*H565</f>
        <v>60.44</v>
      </c>
    </row>
    <row r="566" spans="2:9" ht="15.75" thickBot="1" x14ac:dyDescent="0.3">
      <c r="B566" s="742"/>
      <c r="C566" s="743"/>
      <c r="D566" s="744" t="s">
        <v>174</v>
      </c>
      <c r="E566" s="745"/>
      <c r="F566" s="155"/>
      <c r="G566" s="120"/>
      <c r="H566" s="120"/>
      <c r="I566" s="119">
        <f>F561/F562</f>
        <v>43.75</v>
      </c>
    </row>
    <row r="567" spans="2:9" ht="15.75" thickTop="1" x14ac:dyDescent="0.25">
      <c r="B567" s="742"/>
      <c r="C567" s="743"/>
      <c r="D567" s="749" t="s">
        <v>167</v>
      </c>
      <c r="E567" s="750"/>
      <c r="F567" s="154"/>
      <c r="G567" s="120"/>
      <c r="H567" s="120"/>
      <c r="I567" s="156">
        <f>SUM(I564:I566)</f>
        <v>164.19</v>
      </c>
    </row>
    <row r="568" spans="2:9" ht="15.75" thickBot="1" x14ac:dyDescent="0.3">
      <c r="B568" s="721"/>
      <c r="C568" s="722"/>
      <c r="D568" s="723" t="s">
        <v>221</v>
      </c>
      <c r="E568" s="724"/>
      <c r="F568" s="157"/>
      <c r="G568" s="158"/>
      <c r="H568" s="159"/>
      <c r="I568" s="115">
        <f>(I567/F563)*0.05</f>
        <v>0.41047500000000003</v>
      </c>
    </row>
    <row r="569" spans="2:9" ht="15.75" thickBot="1" x14ac:dyDescent="0.3">
      <c r="B569" s="725"/>
      <c r="C569" s="726"/>
      <c r="D569" s="727" t="s">
        <v>41</v>
      </c>
      <c r="E569" s="728"/>
      <c r="F569" s="160"/>
      <c r="G569" s="129"/>
      <c r="H569" s="161"/>
      <c r="I569" s="131">
        <f>(I567/F563)+I568</f>
        <v>8.6199750000000002</v>
      </c>
    </row>
    <row r="570" spans="2:9" ht="15.75" thickBot="1" x14ac:dyDescent="0.3"/>
    <row r="571" spans="2:9" ht="15.75" thickBot="1" x14ac:dyDescent="0.3">
      <c r="B571" s="48" t="s">
        <v>92</v>
      </c>
      <c r="C571" s="729" t="str">
        <f>C559</f>
        <v>STROJNO ORODJE (cena brez operaterja)</v>
      </c>
      <c r="D571" s="730"/>
      <c r="E571" s="730"/>
      <c r="F571" s="730"/>
      <c r="G571" s="730"/>
      <c r="H571" s="730"/>
      <c r="I571" s="731"/>
    </row>
    <row r="572" spans="2:9" ht="23.25" thickBot="1" x14ac:dyDescent="0.3">
      <c r="B572" s="732" t="s">
        <v>37</v>
      </c>
      <c r="C572" s="733"/>
      <c r="D572" s="734" t="s">
        <v>38</v>
      </c>
      <c r="E572" s="735"/>
      <c r="F572" s="146" t="s">
        <v>39</v>
      </c>
      <c r="G572" s="106" t="s">
        <v>40</v>
      </c>
      <c r="H572" s="106" t="s">
        <v>41</v>
      </c>
      <c r="I572" s="107" t="s">
        <v>42</v>
      </c>
    </row>
    <row r="573" spans="2:9" x14ac:dyDescent="0.25">
      <c r="B573" s="736" t="s">
        <v>96</v>
      </c>
      <c r="C573" s="737"/>
      <c r="D573" s="738" t="str">
        <f>CENIK_št_1!B111</f>
        <v>Ročna motorna kosa</v>
      </c>
      <c r="E573" s="739"/>
      <c r="F573" s="147">
        <v>1050</v>
      </c>
      <c r="G573" s="148"/>
      <c r="H573" s="148"/>
      <c r="I573" s="149"/>
    </row>
    <row r="574" spans="2:9" x14ac:dyDescent="0.25">
      <c r="B574" s="110"/>
      <c r="C574" s="111"/>
      <c r="D574" s="740" t="s">
        <v>223</v>
      </c>
      <c r="E574" s="741"/>
      <c r="F574" s="150">
        <v>24</v>
      </c>
      <c r="G574" s="151"/>
      <c r="H574" s="151"/>
      <c r="I574" s="152"/>
    </row>
    <row r="575" spans="2:9" x14ac:dyDescent="0.25">
      <c r="B575" s="110"/>
      <c r="C575" s="111"/>
      <c r="D575" s="740" t="s">
        <v>222</v>
      </c>
      <c r="E575" s="741"/>
      <c r="F575" s="150">
        <v>20</v>
      </c>
      <c r="G575" s="151"/>
      <c r="H575" s="151"/>
      <c r="I575" s="152"/>
    </row>
    <row r="576" spans="2:9" ht="27" customHeight="1" x14ac:dyDescent="0.25">
      <c r="B576" s="742"/>
      <c r="C576" s="743"/>
      <c r="D576" s="746" t="s">
        <v>226</v>
      </c>
      <c r="E576" s="747"/>
      <c r="F576" s="154"/>
      <c r="G576" s="120"/>
      <c r="H576" s="112">
        <v>3</v>
      </c>
      <c r="I576" s="113">
        <f>F575*H576</f>
        <v>60</v>
      </c>
    </row>
    <row r="577" spans="2:9" ht="21.75" customHeight="1" x14ac:dyDescent="0.25">
      <c r="B577" s="742"/>
      <c r="C577" s="743"/>
      <c r="D577" s="753" t="s">
        <v>359</v>
      </c>
      <c r="E577" s="745"/>
      <c r="F577" s="154"/>
      <c r="G577" s="120">
        <v>1.5</v>
      </c>
      <c r="H577" s="112">
        <v>1.5109999999999999</v>
      </c>
      <c r="I577" s="122">
        <f>F575*G577*H577</f>
        <v>45.33</v>
      </c>
    </row>
    <row r="578" spans="2:9" ht="15.75" thickBot="1" x14ac:dyDescent="0.3">
      <c r="B578" s="742"/>
      <c r="C578" s="743"/>
      <c r="D578" s="744" t="s">
        <v>174</v>
      </c>
      <c r="E578" s="745"/>
      <c r="F578" s="155"/>
      <c r="G578" s="120"/>
      <c r="H578" s="120"/>
      <c r="I578" s="119">
        <f>F573/F574</f>
        <v>43.75</v>
      </c>
    </row>
    <row r="579" spans="2:9" ht="15.75" thickTop="1" x14ac:dyDescent="0.25">
      <c r="B579" s="742"/>
      <c r="C579" s="743"/>
      <c r="D579" s="749" t="s">
        <v>167</v>
      </c>
      <c r="E579" s="750"/>
      <c r="F579" s="154"/>
      <c r="G579" s="120"/>
      <c r="H579" s="120"/>
      <c r="I579" s="156">
        <f>SUM(I576:I578)</f>
        <v>149.07999999999998</v>
      </c>
    </row>
    <row r="580" spans="2:9" ht="15.75" thickBot="1" x14ac:dyDescent="0.3">
      <c r="B580" s="721"/>
      <c r="C580" s="722"/>
      <c r="D580" s="723" t="s">
        <v>221</v>
      </c>
      <c r="E580" s="724"/>
      <c r="F580" s="157"/>
      <c r="G580" s="158"/>
      <c r="H580" s="159"/>
      <c r="I580" s="115">
        <f>(I579/F575)*0.05</f>
        <v>0.37269999999999998</v>
      </c>
    </row>
    <row r="581" spans="2:9" ht="15.75" thickBot="1" x14ac:dyDescent="0.3">
      <c r="B581" s="725"/>
      <c r="C581" s="726"/>
      <c r="D581" s="727" t="s">
        <v>41</v>
      </c>
      <c r="E581" s="728"/>
      <c r="F581" s="160"/>
      <c r="G581" s="129"/>
      <c r="H581" s="161"/>
      <c r="I581" s="131">
        <f>(I579/F575)+I580</f>
        <v>7.8266999999999989</v>
      </c>
    </row>
    <row r="582" spans="2:9" ht="15.75" thickBot="1" x14ac:dyDescent="0.3"/>
    <row r="583" spans="2:9" ht="15.75" thickBot="1" x14ac:dyDescent="0.3">
      <c r="B583" s="48" t="s">
        <v>92</v>
      </c>
      <c r="C583" s="729" t="str">
        <f>C571</f>
        <v>STROJNO ORODJE (cena brez operaterja)</v>
      </c>
      <c r="D583" s="730"/>
      <c r="E583" s="730"/>
      <c r="F583" s="730"/>
      <c r="G583" s="730"/>
      <c r="H583" s="730"/>
      <c r="I583" s="731"/>
    </row>
    <row r="584" spans="2:9" ht="23.25" thickBot="1" x14ac:dyDescent="0.3">
      <c r="B584" s="732" t="s">
        <v>37</v>
      </c>
      <c r="C584" s="733"/>
      <c r="D584" s="734" t="s">
        <v>38</v>
      </c>
      <c r="E584" s="735"/>
      <c r="F584" s="146" t="s">
        <v>39</v>
      </c>
      <c r="G584" s="106" t="s">
        <v>40</v>
      </c>
      <c r="H584" s="106" t="s">
        <v>41</v>
      </c>
      <c r="I584" s="107" t="s">
        <v>42</v>
      </c>
    </row>
    <row r="585" spans="2:9" x14ac:dyDescent="0.25">
      <c r="B585" s="736" t="s">
        <v>97</v>
      </c>
      <c r="C585" s="737"/>
      <c r="D585" s="738" t="str">
        <f>CENIK_št_1!B112</f>
        <v>Ročne motorne škarje</v>
      </c>
      <c r="E585" s="739"/>
      <c r="F585" s="147">
        <v>1050</v>
      </c>
      <c r="G585" s="148"/>
      <c r="H585" s="148"/>
      <c r="I585" s="149"/>
    </row>
    <row r="586" spans="2:9" x14ac:dyDescent="0.25">
      <c r="B586" s="110"/>
      <c r="C586" s="111"/>
      <c r="D586" s="740" t="s">
        <v>223</v>
      </c>
      <c r="E586" s="741"/>
      <c r="F586" s="150">
        <v>24</v>
      </c>
      <c r="G586" s="151"/>
      <c r="H586" s="151"/>
      <c r="I586" s="152"/>
    </row>
    <row r="587" spans="2:9" x14ac:dyDescent="0.25">
      <c r="B587" s="110"/>
      <c r="C587" s="111"/>
      <c r="D587" s="740" t="s">
        <v>222</v>
      </c>
      <c r="E587" s="741"/>
      <c r="F587" s="150">
        <v>20</v>
      </c>
      <c r="G587" s="151"/>
      <c r="H587" s="151"/>
      <c r="I587" s="152"/>
    </row>
    <row r="588" spans="2:9" ht="22.5" customHeight="1" x14ac:dyDescent="0.25">
      <c r="B588" s="742"/>
      <c r="C588" s="743"/>
      <c r="D588" s="746" t="s">
        <v>226</v>
      </c>
      <c r="E588" s="747"/>
      <c r="F588" s="154"/>
      <c r="G588" s="120"/>
      <c r="H588" s="112">
        <v>3</v>
      </c>
      <c r="I588" s="113">
        <f>F587*H588</f>
        <v>60</v>
      </c>
    </row>
    <row r="589" spans="2:9" ht="21.75" customHeight="1" x14ac:dyDescent="0.25">
      <c r="B589" s="742"/>
      <c r="C589" s="743"/>
      <c r="D589" s="753" t="s">
        <v>359</v>
      </c>
      <c r="E589" s="745"/>
      <c r="F589" s="154"/>
      <c r="G589" s="120">
        <v>1.5</v>
      </c>
      <c r="H589" s="112">
        <v>1.5109999999999999</v>
      </c>
      <c r="I589" s="122">
        <f>F587*G589*H589</f>
        <v>45.33</v>
      </c>
    </row>
    <row r="590" spans="2:9" ht="15.75" thickBot="1" x14ac:dyDescent="0.3">
      <c r="B590" s="742"/>
      <c r="C590" s="743"/>
      <c r="D590" s="744" t="s">
        <v>174</v>
      </c>
      <c r="E590" s="745"/>
      <c r="F590" s="155"/>
      <c r="G590" s="120"/>
      <c r="H590" s="120"/>
      <c r="I590" s="119">
        <f>F585/F586</f>
        <v>43.75</v>
      </c>
    </row>
    <row r="591" spans="2:9" ht="15.75" thickTop="1" x14ac:dyDescent="0.25">
      <c r="B591" s="742"/>
      <c r="C591" s="743"/>
      <c r="D591" s="749" t="s">
        <v>167</v>
      </c>
      <c r="E591" s="750"/>
      <c r="F591" s="154"/>
      <c r="G591" s="120"/>
      <c r="H591" s="120"/>
      <c r="I591" s="156">
        <f>SUM(I588:I590)</f>
        <v>149.07999999999998</v>
      </c>
    </row>
    <row r="592" spans="2:9" ht="15.75" thickBot="1" x14ac:dyDescent="0.3">
      <c r="B592" s="721"/>
      <c r="C592" s="722"/>
      <c r="D592" s="723" t="s">
        <v>221</v>
      </c>
      <c r="E592" s="724"/>
      <c r="F592" s="157"/>
      <c r="G592" s="158"/>
      <c r="H592" s="159"/>
      <c r="I592" s="115">
        <f>(I591/F587)*0.05</f>
        <v>0.37269999999999998</v>
      </c>
    </row>
    <row r="593" spans="2:9" ht="15.75" thickBot="1" x14ac:dyDescent="0.3">
      <c r="B593" s="725"/>
      <c r="C593" s="726"/>
      <c r="D593" s="727" t="s">
        <v>41</v>
      </c>
      <c r="E593" s="728"/>
      <c r="F593" s="160"/>
      <c r="G593" s="129"/>
      <c r="H593" s="161"/>
      <c r="I593" s="131">
        <f>(I591/F587)+I592</f>
        <v>7.8266999999999989</v>
      </c>
    </row>
    <row r="594" spans="2:9" ht="15.75" thickBot="1" x14ac:dyDescent="0.3"/>
    <row r="595" spans="2:9" ht="15.75" thickBot="1" x14ac:dyDescent="0.3">
      <c r="B595" s="48" t="s">
        <v>92</v>
      </c>
      <c r="C595" s="729" t="str">
        <f>C583</f>
        <v>STROJNO ORODJE (cena brez operaterja)</v>
      </c>
      <c r="D595" s="730"/>
      <c r="E595" s="730"/>
      <c r="F595" s="730"/>
      <c r="G595" s="730"/>
      <c r="H595" s="730"/>
      <c r="I595" s="731"/>
    </row>
    <row r="596" spans="2:9" ht="23.25" thickBot="1" x14ac:dyDescent="0.3">
      <c r="B596" s="732" t="s">
        <v>37</v>
      </c>
      <c r="C596" s="733"/>
      <c r="D596" s="734" t="s">
        <v>38</v>
      </c>
      <c r="E596" s="735"/>
      <c r="F596" s="146" t="s">
        <v>39</v>
      </c>
      <c r="G596" s="106" t="s">
        <v>40</v>
      </c>
      <c r="H596" s="106" t="s">
        <v>41</v>
      </c>
      <c r="I596" s="107" t="s">
        <v>42</v>
      </c>
    </row>
    <row r="597" spans="2:9" x14ac:dyDescent="0.25">
      <c r="B597" s="736" t="s">
        <v>98</v>
      </c>
      <c r="C597" s="737"/>
      <c r="D597" s="738" t="str">
        <f>CENIK_št_1!B113</f>
        <v>Motorna žaga</v>
      </c>
      <c r="E597" s="739"/>
      <c r="F597" s="147">
        <v>1050</v>
      </c>
      <c r="G597" s="148"/>
      <c r="H597" s="148"/>
      <c r="I597" s="149"/>
    </row>
    <row r="598" spans="2:9" x14ac:dyDescent="0.25">
      <c r="B598" s="110"/>
      <c r="C598" s="111"/>
      <c r="D598" s="740" t="s">
        <v>223</v>
      </c>
      <c r="E598" s="741"/>
      <c r="F598" s="150">
        <v>24</v>
      </c>
      <c r="G598" s="151"/>
      <c r="H598" s="151"/>
      <c r="I598" s="152"/>
    </row>
    <row r="599" spans="2:9" x14ac:dyDescent="0.25">
      <c r="B599" s="110"/>
      <c r="C599" s="111"/>
      <c r="D599" s="740" t="s">
        <v>222</v>
      </c>
      <c r="E599" s="741"/>
      <c r="F599" s="150">
        <v>20</v>
      </c>
      <c r="G599" s="151"/>
      <c r="H599" s="151"/>
      <c r="I599" s="152"/>
    </row>
    <row r="600" spans="2:9" ht="22.5" customHeight="1" x14ac:dyDescent="0.25">
      <c r="B600" s="742"/>
      <c r="C600" s="743"/>
      <c r="D600" s="746" t="s">
        <v>226</v>
      </c>
      <c r="E600" s="747"/>
      <c r="F600" s="154"/>
      <c r="G600" s="120"/>
      <c r="H600" s="112">
        <v>3</v>
      </c>
      <c r="I600" s="113">
        <f>F599*H600</f>
        <v>60</v>
      </c>
    </row>
    <row r="601" spans="2:9" ht="21.75" customHeight="1" x14ac:dyDescent="0.25">
      <c r="B601" s="742"/>
      <c r="C601" s="743"/>
      <c r="D601" s="753" t="s">
        <v>359</v>
      </c>
      <c r="E601" s="745"/>
      <c r="F601" s="154"/>
      <c r="G601" s="120">
        <v>1.5</v>
      </c>
      <c r="H601" s="112">
        <v>1.5109999999999999</v>
      </c>
      <c r="I601" s="122">
        <f>F599*G601*H601</f>
        <v>45.33</v>
      </c>
    </row>
    <row r="602" spans="2:9" ht="15.75" thickBot="1" x14ac:dyDescent="0.3">
      <c r="B602" s="742"/>
      <c r="C602" s="743"/>
      <c r="D602" s="744" t="s">
        <v>174</v>
      </c>
      <c r="E602" s="745"/>
      <c r="F602" s="155"/>
      <c r="G602" s="120"/>
      <c r="H602" s="120"/>
      <c r="I602" s="119">
        <f>F597/F598</f>
        <v>43.75</v>
      </c>
    </row>
    <row r="603" spans="2:9" ht="15.75" thickTop="1" x14ac:dyDescent="0.25">
      <c r="B603" s="742"/>
      <c r="C603" s="743"/>
      <c r="D603" s="749" t="s">
        <v>167</v>
      </c>
      <c r="E603" s="750"/>
      <c r="F603" s="154"/>
      <c r="G603" s="120"/>
      <c r="H603" s="120"/>
      <c r="I603" s="156">
        <f>SUM(I600:I602)</f>
        <v>149.07999999999998</v>
      </c>
    </row>
    <row r="604" spans="2:9" ht="15.75" thickBot="1" x14ac:dyDescent="0.3">
      <c r="B604" s="721"/>
      <c r="C604" s="722"/>
      <c r="D604" s="723" t="s">
        <v>221</v>
      </c>
      <c r="E604" s="724"/>
      <c r="F604" s="157"/>
      <c r="G604" s="158"/>
      <c r="H604" s="159"/>
      <c r="I604" s="115">
        <f>(I603/F599)*0.05</f>
        <v>0.37269999999999998</v>
      </c>
    </row>
    <row r="605" spans="2:9" ht="15.75" thickBot="1" x14ac:dyDescent="0.3">
      <c r="B605" s="725"/>
      <c r="C605" s="726"/>
      <c r="D605" s="727" t="s">
        <v>41</v>
      </c>
      <c r="E605" s="728"/>
      <c r="F605" s="160"/>
      <c r="G605" s="129"/>
      <c r="H605" s="161"/>
      <c r="I605" s="131">
        <f>(I603/F599)+I604</f>
        <v>7.8266999999999989</v>
      </c>
    </row>
    <row r="606" spans="2:9" x14ac:dyDescent="0.25">
      <c r="B606" s="132"/>
      <c r="C606" s="132"/>
      <c r="D606" s="133"/>
      <c r="E606" s="133"/>
      <c r="F606" s="162"/>
      <c r="G606" s="134"/>
      <c r="H606" s="134"/>
      <c r="I606" s="136"/>
    </row>
    <row r="607" spans="2:9" ht="15.75" thickBot="1" x14ac:dyDescent="0.3"/>
    <row r="608" spans="2:9" ht="15.75" thickBot="1" x14ac:dyDescent="0.3">
      <c r="B608" s="48" t="s">
        <v>92</v>
      </c>
      <c r="C608" s="729" t="str">
        <f>C595</f>
        <v>STROJNO ORODJE (cena brez operaterja)</v>
      </c>
      <c r="D608" s="730"/>
      <c r="E608" s="730"/>
      <c r="F608" s="730"/>
      <c r="G608" s="730"/>
      <c r="H608" s="730"/>
      <c r="I608" s="731"/>
    </row>
    <row r="609" spans="2:9" ht="23.25" thickBot="1" x14ac:dyDescent="0.3">
      <c r="B609" s="732" t="s">
        <v>37</v>
      </c>
      <c r="C609" s="733"/>
      <c r="D609" s="734" t="s">
        <v>38</v>
      </c>
      <c r="E609" s="735"/>
      <c r="F609" s="146" t="s">
        <v>39</v>
      </c>
      <c r="G609" s="106" t="s">
        <v>40</v>
      </c>
      <c r="H609" s="106" t="s">
        <v>41</v>
      </c>
      <c r="I609" s="107" t="s">
        <v>42</v>
      </c>
    </row>
    <row r="610" spans="2:9" x14ac:dyDescent="0.25">
      <c r="B610" s="736" t="s">
        <v>99</v>
      </c>
      <c r="C610" s="737"/>
      <c r="D610" s="738" t="str">
        <f>CENIK_št_1!B114</f>
        <v>Pihalnik listja</v>
      </c>
      <c r="E610" s="739"/>
      <c r="F610" s="147">
        <v>1050</v>
      </c>
      <c r="G610" s="148"/>
      <c r="H610" s="148"/>
      <c r="I610" s="149"/>
    </row>
    <row r="611" spans="2:9" x14ac:dyDescent="0.25">
      <c r="B611" s="110"/>
      <c r="C611" s="111"/>
      <c r="D611" s="740" t="s">
        <v>223</v>
      </c>
      <c r="E611" s="741"/>
      <c r="F611" s="150">
        <v>24</v>
      </c>
      <c r="G611" s="151"/>
      <c r="H611" s="151"/>
      <c r="I611" s="152"/>
    </row>
    <row r="612" spans="2:9" x14ac:dyDescent="0.25">
      <c r="B612" s="110"/>
      <c r="C612" s="111"/>
      <c r="D612" s="740" t="s">
        <v>222</v>
      </c>
      <c r="E612" s="741"/>
      <c r="F612" s="150">
        <v>20</v>
      </c>
      <c r="G612" s="151"/>
      <c r="H612" s="151"/>
      <c r="I612" s="152"/>
    </row>
    <row r="613" spans="2:9" ht="25.5" customHeight="1" x14ac:dyDescent="0.25">
      <c r="B613" s="742"/>
      <c r="C613" s="743"/>
      <c r="D613" s="746" t="s">
        <v>226</v>
      </c>
      <c r="E613" s="747"/>
      <c r="F613" s="154"/>
      <c r="G613" s="120"/>
      <c r="H613" s="112">
        <v>2.5</v>
      </c>
      <c r="I613" s="113">
        <f>F612*H613</f>
        <v>50</v>
      </c>
    </row>
    <row r="614" spans="2:9" ht="21.75" customHeight="1" x14ac:dyDescent="0.25">
      <c r="B614" s="742"/>
      <c r="C614" s="743"/>
      <c r="D614" s="753" t="s">
        <v>359</v>
      </c>
      <c r="E614" s="745"/>
      <c r="F614" s="154"/>
      <c r="G614" s="120">
        <v>3</v>
      </c>
      <c r="H614" s="112">
        <v>1.5109999999999999</v>
      </c>
      <c r="I614" s="122">
        <f>F612*G614*H614</f>
        <v>90.66</v>
      </c>
    </row>
    <row r="615" spans="2:9" ht="15.75" thickBot="1" x14ac:dyDescent="0.3">
      <c r="B615" s="742"/>
      <c r="C615" s="743"/>
      <c r="D615" s="744" t="s">
        <v>174</v>
      </c>
      <c r="E615" s="745"/>
      <c r="F615" s="155"/>
      <c r="G615" s="120"/>
      <c r="H615" s="120"/>
      <c r="I615" s="119">
        <f>F610/F611</f>
        <v>43.75</v>
      </c>
    </row>
    <row r="616" spans="2:9" ht="15.75" thickTop="1" x14ac:dyDescent="0.25">
      <c r="B616" s="742"/>
      <c r="C616" s="743"/>
      <c r="D616" s="749" t="s">
        <v>167</v>
      </c>
      <c r="E616" s="750"/>
      <c r="F616" s="154"/>
      <c r="G616" s="120"/>
      <c r="H616" s="120"/>
      <c r="I616" s="156">
        <f>SUM(I613:I615)</f>
        <v>184.41</v>
      </c>
    </row>
    <row r="617" spans="2:9" ht="15.75" thickBot="1" x14ac:dyDescent="0.3">
      <c r="B617" s="721"/>
      <c r="C617" s="722"/>
      <c r="D617" s="723" t="s">
        <v>221</v>
      </c>
      <c r="E617" s="724"/>
      <c r="F617" s="157"/>
      <c r="G617" s="158"/>
      <c r="H617" s="159"/>
      <c r="I617" s="115">
        <f>(I616/F612)*0.05</f>
        <v>0.46102500000000002</v>
      </c>
    </row>
    <row r="618" spans="2:9" ht="15.75" thickBot="1" x14ac:dyDescent="0.3">
      <c r="B618" s="725"/>
      <c r="C618" s="726"/>
      <c r="D618" s="727" t="s">
        <v>41</v>
      </c>
      <c r="E618" s="728"/>
      <c r="F618" s="160"/>
      <c r="G618" s="129"/>
      <c r="H618" s="161"/>
      <c r="I618" s="131">
        <f>(I616/F612)+I617</f>
        <v>9.6815249999999988</v>
      </c>
    </row>
    <row r="619" spans="2:9" ht="15.75" thickBot="1" x14ac:dyDescent="0.3"/>
    <row r="620" spans="2:9" ht="15.75" thickBot="1" x14ac:dyDescent="0.3">
      <c r="B620" s="48" t="s">
        <v>92</v>
      </c>
      <c r="C620" s="729" t="str">
        <f>C608</f>
        <v>STROJNO ORODJE (cena brez operaterja)</v>
      </c>
      <c r="D620" s="730"/>
      <c r="E620" s="730"/>
      <c r="F620" s="730"/>
      <c r="G620" s="730"/>
      <c r="H620" s="730"/>
      <c r="I620" s="731"/>
    </row>
    <row r="621" spans="2:9" ht="23.25" thickBot="1" x14ac:dyDescent="0.3">
      <c r="B621" s="732" t="s">
        <v>37</v>
      </c>
      <c r="C621" s="733"/>
      <c r="D621" s="734" t="s">
        <v>38</v>
      </c>
      <c r="E621" s="735"/>
      <c r="F621" s="146" t="s">
        <v>39</v>
      </c>
      <c r="G621" s="106" t="s">
        <v>40</v>
      </c>
      <c r="H621" s="106" t="s">
        <v>41</v>
      </c>
      <c r="I621" s="107" t="s">
        <v>42</v>
      </c>
    </row>
    <row r="622" spans="2:9" x14ac:dyDescent="0.25">
      <c r="B622" s="736" t="s">
        <v>100</v>
      </c>
      <c r="C622" s="737"/>
      <c r="D622" s="738" t="str">
        <f>CENIK_št_1!B115</f>
        <v>Višinski obrezovalnik vej</v>
      </c>
      <c r="E622" s="739"/>
      <c r="F622" s="147">
        <v>1750</v>
      </c>
      <c r="G622" s="148"/>
      <c r="H622" s="148"/>
      <c r="I622" s="149"/>
    </row>
    <row r="623" spans="2:9" x14ac:dyDescent="0.25">
      <c r="B623" s="110"/>
      <c r="C623" s="111"/>
      <c r="D623" s="740" t="s">
        <v>223</v>
      </c>
      <c r="E623" s="741"/>
      <c r="F623" s="150">
        <v>24</v>
      </c>
      <c r="G623" s="151"/>
      <c r="H623" s="151"/>
      <c r="I623" s="152"/>
    </row>
    <row r="624" spans="2:9" x14ac:dyDescent="0.25">
      <c r="B624" s="110"/>
      <c r="C624" s="111"/>
      <c r="D624" s="740" t="s">
        <v>222</v>
      </c>
      <c r="E624" s="741"/>
      <c r="F624" s="150">
        <v>20</v>
      </c>
      <c r="G624" s="151"/>
      <c r="H624" s="151"/>
      <c r="I624" s="152"/>
    </row>
    <row r="625" spans="2:9" ht="23.25" customHeight="1" x14ac:dyDescent="0.25">
      <c r="B625" s="742"/>
      <c r="C625" s="743"/>
      <c r="D625" s="746" t="s">
        <v>226</v>
      </c>
      <c r="E625" s="747"/>
      <c r="F625" s="154"/>
      <c r="G625" s="120"/>
      <c r="H625" s="112">
        <v>2.29</v>
      </c>
      <c r="I625" s="113">
        <f>F624*H625</f>
        <v>45.8</v>
      </c>
    </row>
    <row r="626" spans="2:9" ht="21.75" customHeight="1" x14ac:dyDescent="0.25">
      <c r="B626" s="742"/>
      <c r="C626" s="743"/>
      <c r="D626" s="753" t="s">
        <v>359</v>
      </c>
      <c r="E626" s="745"/>
      <c r="F626" s="154"/>
      <c r="G626" s="120">
        <v>2</v>
      </c>
      <c r="H626" s="112">
        <v>1.5109999999999999</v>
      </c>
      <c r="I626" s="122">
        <f>F624*G626*H626</f>
        <v>60.44</v>
      </c>
    </row>
    <row r="627" spans="2:9" ht="15.75" thickBot="1" x14ac:dyDescent="0.3">
      <c r="B627" s="742"/>
      <c r="C627" s="743"/>
      <c r="D627" s="744" t="s">
        <v>174</v>
      </c>
      <c r="E627" s="745"/>
      <c r="F627" s="155"/>
      <c r="G627" s="120"/>
      <c r="H627" s="120"/>
      <c r="I627" s="119">
        <f>F622/F623</f>
        <v>72.916666666666671</v>
      </c>
    </row>
    <row r="628" spans="2:9" ht="15.75" thickTop="1" x14ac:dyDescent="0.25">
      <c r="B628" s="742"/>
      <c r="C628" s="743"/>
      <c r="D628" s="749" t="s">
        <v>167</v>
      </c>
      <c r="E628" s="750"/>
      <c r="F628" s="154"/>
      <c r="G628" s="120"/>
      <c r="H628" s="120"/>
      <c r="I628" s="156">
        <f>SUM(I625:I627)</f>
        <v>179.15666666666667</v>
      </c>
    </row>
    <row r="629" spans="2:9" ht="15.75" thickBot="1" x14ac:dyDescent="0.3">
      <c r="B629" s="721"/>
      <c r="C629" s="722"/>
      <c r="D629" s="723" t="s">
        <v>221</v>
      </c>
      <c r="E629" s="724"/>
      <c r="F629" s="157"/>
      <c r="G629" s="158"/>
      <c r="H629" s="159"/>
      <c r="I629" s="115">
        <f>(I628/F624)*0.05</f>
        <v>0.44789166666666669</v>
      </c>
    </row>
    <row r="630" spans="2:9" ht="15.75" thickBot="1" x14ac:dyDescent="0.3">
      <c r="B630" s="725"/>
      <c r="C630" s="726"/>
      <c r="D630" s="727" t="s">
        <v>41</v>
      </c>
      <c r="E630" s="728"/>
      <c r="F630" s="160"/>
      <c r="G630" s="129"/>
      <c r="H630" s="161"/>
      <c r="I630" s="131">
        <f>(I628/F624)+I629</f>
        <v>9.4057250000000003</v>
      </c>
    </row>
    <row r="631" spans="2:9" ht="15.75" thickBot="1" x14ac:dyDescent="0.3">
      <c r="B631" s="132"/>
      <c r="C631" s="132"/>
      <c r="D631" s="133"/>
      <c r="E631" s="133"/>
      <c r="F631" s="162"/>
      <c r="G631" s="134"/>
      <c r="H631" s="134"/>
      <c r="I631" s="136"/>
    </row>
    <row r="632" spans="2:9" ht="15.75" thickBot="1" x14ac:dyDescent="0.3">
      <c r="B632" s="48" t="s">
        <v>92</v>
      </c>
      <c r="C632" s="729" t="str">
        <f>C620</f>
        <v>STROJNO ORODJE (cena brez operaterja)</v>
      </c>
      <c r="D632" s="730"/>
      <c r="E632" s="730"/>
      <c r="F632" s="730"/>
      <c r="G632" s="730"/>
      <c r="H632" s="730"/>
      <c r="I632" s="731"/>
    </row>
    <row r="633" spans="2:9" ht="23.25" thickBot="1" x14ac:dyDescent="0.3">
      <c r="B633" s="732" t="s">
        <v>37</v>
      </c>
      <c r="C633" s="733"/>
      <c r="D633" s="734" t="s">
        <v>38</v>
      </c>
      <c r="E633" s="735"/>
      <c r="F633" s="146" t="s">
        <v>39</v>
      </c>
      <c r="G633" s="106" t="s">
        <v>40</v>
      </c>
      <c r="H633" s="106" t="s">
        <v>41</v>
      </c>
      <c r="I633" s="107" t="s">
        <v>42</v>
      </c>
    </row>
    <row r="634" spans="2:9" x14ac:dyDescent="0.25">
      <c r="B634" s="736" t="s">
        <v>101</v>
      </c>
      <c r="C634" s="737"/>
      <c r="D634" s="738" t="str">
        <f>CENIK_št_1!B116</f>
        <v>Vibracijska igla za beton</v>
      </c>
      <c r="E634" s="739"/>
      <c r="F634" s="147">
        <v>1800</v>
      </c>
      <c r="G634" s="148"/>
      <c r="H634" s="148"/>
      <c r="I634" s="149"/>
    </row>
    <row r="635" spans="2:9" x14ac:dyDescent="0.25">
      <c r="B635" s="110"/>
      <c r="C635" s="111"/>
      <c r="D635" s="740" t="s">
        <v>223</v>
      </c>
      <c r="E635" s="741"/>
      <c r="F635" s="150">
        <v>24</v>
      </c>
      <c r="G635" s="151"/>
      <c r="H635" s="151"/>
      <c r="I635" s="152"/>
    </row>
    <row r="636" spans="2:9" x14ac:dyDescent="0.25">
      <c r="B636" s="110"/>
      <c r="C636" s="111"/>
      <c r="D636" s="740" t="s">
        <v>222</v>
      </c>
      <c r="E636" s="741"/>
      <c r="F636" s="150">
        <v>8</v>
      </c>
      <c r="G636" s="151"/>
      <c r="H636" s="151"/>
      <c r="I636" s="152"/>
    </row>
    <row r="637" spans="2:9" ht="26.25" customHeight="1" x14ac:dyDescent="0.25">
      <c r="B637" s="742"/>
      <c r="C637" s="743"/>
      <c r="D637" s="746" t="s">
        <v>226</v>
      </c>
      <c r="E637" s="747"/>
      <c r="F637" s="154"/>
      <c r="G637" s="120"/>
      <c r="H637" s="112">
        <v>2</v>
      </c>
      <c r="I637" s="113">
        <f>F636*H637</f>
        <v>16</v>
      </c>
    </row>
    <row r="638" spans="2:9" x14ac:dyDescent="0.25">
      <c r="B638" s="742"/>
      <c r="C638" s="743"/>
      <c r="D638" s="753" t="s">
        <v>359</v>
      </c>
      <c r="E638" s="745"/>
      <c r="F638" s="154"/>
      <c r="G638" s="120">
        <v>2</v>
      </c>
      <c r="H638" s="112">
        <v>1.5109999999999999</v>
      </c>
      <c r="I638" s="122">
        <f>F636*G638*H638</f>
        <v>24.175999999999998</v>
      </c>
    </row>
    <row r="639" spans="2:9" ht="15.75" thickBot="1" x14ac:dyDescent="0.3">
      <c r="B639" s="742"/>
      <c r="C639" s="743"/>
      <c r="D639" s="744" t="s">
        <v>174</v>
      </c>
      <c r="E639" s="745"/>
      <c r="F639" s="155"/>
      <c r="G639" s="120"/>
      <c r="H639" s="120"/>
      <c r="I639" s="119">
        <f>F634/F635</f>
        <v>75</v>
      </c>
    </row>
    <row r="640" spans="2:9" ht="15.75" thickTop="1" x14ac:dyDescent="0.25">
      <c r="B640" s="742"/>
      <c r="C640" s="743"/>
      <c r="D640" s="749" t="s">
        <v>167</v>
      </c>
      <c r="E640" s="750"/>
      <c r="F640" s="154"/>
      <c r="G640" s="120"/>
      <c r="H640" s="120"/>
      <c r="I640" s="156">
        <f>SUM(I637:I639)</f>
        <v>115.176</v>
      </c>
    </row>
    <row r="641" spans="2:9" ht="15.75" thickBot="1" x14ac:dyDescent="0.3">
      <c r="B641" s="721"/>
      <c r="C641" s="722"/>
      <c r="D641" s="723" t="s">
        <v>221</v>
      </c>
      <c r="E641" s="724"/>
      <c r="F641" s="157"/>
      <c r="G641" s="158"/>
      <c r="H641" s="159"/>
      <c r="I641" s="115">
        <f>(I640/F636)*0.05</f>
        <v>0.7198500000000001</v>
      </c>
    </row>
    <row r="642" spans="2:9" ht="15.75" thickBot="1" x14ac:dyDescent="0.3">
      <c r="B642" s="725"/>
      <c r="C642" s="726"/>
      <c r="D642" s="727" t="s">
        <v>41</v>
      </c>
      <c r="E642" s="728"/>
      <c r="F642" s="160"/>
      <c r="G642" s="129"/>
      <c r="H642" s="161"/>
      <c r="I642" s="131">
        <f>(I640/F636)+I641</f>
        <v>15.116849999999999</v>
      </c>
    </row>
    <row r="643" spans="2:9" ht="15.75" thickBot="1" x14ac:dyDescent="0.3"/>
    <row r="644" spans="2:9" ht="15.75" thickBot="1" x14ac:dyDescent="0.3">
      <c r="B644" s="48" t="s">
        <v>92</v>
      </c>
      <c r="C644" s="729" t="str">
        <f>C620</f>
        <v>STROJNO ORODJE (cena brez operaterja)</v>
      </c>
      <c r="D644" s="730"/>
      <c r="E644" s="730"/>
      <c r="F644" s="730"/>
      <c r="G644" s="730"/>
      <c r="H644" s="730"/>
      <c r="I644" s="731"/>
    </row>
    <row r="645" spans="2:9" ht="23.25" thickBot="1" x14ac:dyDescent="0.3">
      <c r="B645" s="732" t="s">
        <v>37</v>
      </c>
      <c r="C645" s="733"/>
      <c r="D645" s="734" t="s">
        <v>38</v>
      </c>
      <c r="E645" s="735"/>
      <c r="F645" s="146" t="s">
        <v>39</v>
      </c>
      <c r="G645" s="106" t="s">
        <v>40</v>
      </c>
      <c r="H645" s="106" t="s">
        <v>41</v>
      </c>
      <c r="I645" s="107" t="s">
        <v>42</v>
      </c>
    </row>
    <row r="646" spans="2:9" x14ac:dyDescent="0.25">
      <c r="B646" s="736" t="s">
        <v>102</v>
      </c>
      <c r="C646" s="737"/>
      <c r="D646" s="738" t="str">
        <f>CENIK_št_1!B117</f>
        <v>Vibracijska plošča</v>
      </c>
      <c r="E646" s="739"/>
      <c r="F646" s="147">
        <v>2700</v>
      </c>
      <c r="G646" s="148"/>
      <c r="H646" s="148"/>
      <c r="I646" s="149"/>
    </row>
    <row r="647" spans="2:9" x14ac:dyDescent="0.25">
      <c r="B647" s="110"/>
      <c r="C647" s="111"/>
      <c r="D647" s="740" t="s">
        <v>223</v>
      </c>
      <c r="E647" s="741"/>
      <c r="F647" s="150">
        <v>48</v>
      </c>
      <c r="G647" s="151"/>
      <c r="H647" s="151"/>
      <c r="I647" s="152"/>
    </row>
    <row r="648" spans="2:9" x14ac:dyDescent="0.25">
      <c r="B648" s="110"/>
      <c r="C648" s="111"/>
      <c r="D648" s="740" t="s">
        <v>222</v>
      </c>
      <c r="E648" s="741"/>
      <c r="F648" s="150">
        <v>10</v>
      </c>
      <c r="G648" s="151"/>
      <c r="H648" s="151"/>
      <c r="I648" s="152"/>
    </row>
    <row r="649" spans="2:9" ht="23.25" customHeight="1" x14ac:dyDescent="0.25">
      <c r="B649" s="742"/>
      <c r="C649" s="743"/>
      <c r="D649" s="746" t="s">
        <v>226</v>
      </c>
      <c r="E649" s="747"/>
      <c r="F649" s="154"/>
      <c r="G649" s="120"/>
      <c r="H649" s="112">
        <v>4</v>
      </c>
      <c r="I649" s="113">
        <f>F648*H649</f>
        <v>40</v>
      </c>
    </row>
    <row r="650" spans="2:9" ht="21.75" customHeight="1" x14ac:dyDescent="0.25">
      <c r="B650" s="742"/>
      <c r="C650" s="743"/>
      <c r="D650" s="753" t="s">
        <v>359</v>
      </c>
      <c r="E650" s="745"/>
      <c r="F650" s="154"/>
      <c r="G650" s="120">
        <v>3.5</v>
      </c>
      <c r="H650" s="112">
        <v>1.5109999999999999</v>
      </c>
      <c r="I650" s="122">
        <f>F648*G650*H650</f>
        <v>52.884999999999998</v>
      </c>
    </row>
    <row r="651" spans="2:9" ht="15.75" thickBot="1" x14ac:dyDescent="0.3">
      <c r="B651" s="742"/>
      <c r="C651" s="743"/>
      <c r="D651" s="744" t="s">
        <v>174</v>
      </c>
      <c r="E651" s="745"/>
      <c r="F651" s="155"/>
      <c r="G651" s="120"/>
      <c r="H651" s="120"/>
      <c r="I651" s="119">
        <f>F646/F647</f>
        <v>56.25</v>
      </c>
    </row>
    <row r="652" spans="2:9" ht="15.75" thickTop="1" x14ac:dyDescent="0.25">
      <c r="B652" s="742"/>
      <c r="C652" s="743"/>
      <c r="D652" s="749" t="s">
        <v>167</v>
      </c>
      <c r="E652" s="750"/>
      <c r="F652" s="154"/>
      <c r="G652" s="120"/>
      <c r="H652" s="120"/>
      <c r="I652" s="156">
        <f>SUM(I649:I651)</f>
        <v>149.13499999999999</v>
      </c>
    </row>
    <row r="653" spans="2:9" ht="15.75" thickBot="1" x14ac:dyDescent="0.3">
      <c r="B653" s="721"/>
      <c r="C653" s="722"/>
      <c r="D653" s="723" t="s">
        <v>221</v>
      </c>
      <c r="E653" s="724"/>
      <c r="F653" s="157"/>
      <c r="G653" s="158"/>
      <c r="H653" s="159"/>
      <c r="I653" s="115">
        <f>(I652/F648)*0.05</f>
        <v>0.74567499999999998</v>
      </c>
    </row>
    <row r="654" spans="2:9" ht="15.75" thickBot="1" x14ac:dyDescent="0.3">
      <c r="B654" s="725"/>
      <c r="C654" s="726"/>
      <c r="D654" s="727" t="s">
        <v>41</v>
      </c>
      <c r="E654" s="728"/>
      <c r="F654" s="160"/>
      <c r="G654" s="129"/>
      <c r="H654" s="161"/>
      <c r="I654" s="131">
        <f>(I652/F648)+I653</f>
        <v>15.659174999999999</v>
      </c>
    </row>
    <row r="655" spans="2:9" ht="15.75" thickBot="1" x14ac:dyDescent="0.3"/>
    <row r="656" spans="2:9" ht="15.75" thickBot="1" x14ac:dyDescent="0.3">
      <c r="B656" s="48" t="s">
        <v>92</v>
      </c>
      <c r="C656" s="729" t="str">
        <f>C644</f>
        <v>STROJNO ORODJE (cena brez operaterja)</v>
      </c>
      <c r="D656" s="730"/>
      <c r="E656" s="730"/>
      <c r="F656" s="730"/>
      <c r="G656" s="730"/>
      <c r="H656" s="730"/>
      <c r="I656" s="731"/>
    </row>
    <row r="657" spans="2:10" ht="23.25" thickBot="1" x14ac:dyDescent="0.3">
      <c r="B657" s="732" t="s">
        <v>37</v>
      </c>
      <c r="C657" s="733"/>
      <c r="D657" s="734" t="s">
        <v>38</v>
      </c>
      <c r="E657" s="735"/>
      <c r="F657" s="146" t="s">
        <v>39</v>
      </c>
      <c r="G657" s="106" t="s">
        <v>40</v>
      </c>
      <c r="H657" s="106" t="s">
        <v>41</v>
      </c>
      <c r="I657" s="107" t="s">
        <v>42</v>
      </c>
    </row>
    <row r="658" spans="2:10" x14ac:dyDescent="0.25">
      <c r="B658" s="736" t="s">
        <v>103</v>
      </c>
      <c r="C658" s="737"/>
      <c r="D658" s="738" t="str">
        <f>CENIK_št_1!B118</f>
        <v>Vibracisjki nabijalec</v>
      </c>
      <c r="E658" s="739"/>
      <c r="F658" s="147">
        <v>2700</v>
      </c>
      <c r="G658" s="148"/>
      <c r="H658" s="148"/>
      <c r="I658" s="149"/>
    </row>
    <row r="659" spans="2:10" x14ac:dyDescent="0.25">
      <c r="B659" s="110"/>
      <c r="C659" s="111"/>
      <c r="D659" s="740" t="s">
        <v>223</v>
      </c>
      <c r="E659" s="741"/>
      <c r="F659" s="150">
        <v>48</v>
      </c>
      <c r="G659" s="151"/>
      <c r="H659" s="151"/>
      <c r="I659" s="152"/>
    </row>
    <row r="660" spans="2:10" x14ac:dyDescent="0.25">
      <c r="B660" s="110"/>
      <c r="C660" s="111"/>
      <c r="D660" s="740" t="s">
        <v>222</v>
      </c>
      <c r="E660" s="741"/>
      <c r="F660" s="150">
        <v>10</v>
      </c>
      <c r="G660" s="151"/>
      <c r="H660" s="151"/>
      <c r="I660" s="152"/>
    </row>
    <row r="661" spans="2:10" ht="22.5" customHeight="1" x14ac:dyDescent="0.25">
      <c r="B661" s="742"/>
      <c r="C661" s="743"/>
      <c r="D661" s="746" t="s">
        <v>226</v>
      </c>
      <c r="E661" s="747"/>
      <c r="F661" s="154"/>
      <c r="G661" s="120"/>
      <c r="H661" s="112">
        <v>4</v>
      </c>
      <c r="I661" s="113">
        <f>F660*H661</f>
        <v>40</v>
      </c>
    </row>
    <row r="662" spans="2:10" ht="21.75" customHeight="1" x14ac:dyDescent="0.25">
      <c r="B662" s="742"/>
      <c r="C662" s="743"/>
      <c r="D662" s="753" t="s">
        <v>359</v>
      </c>
      <c r="E662" s="745"/>
      <c r="F662" s="154"/>
      <c r="G662" s="120">
        <v>3.5</v>
      </c>
      <c r="H662" s="112">
        <v>1.5109999999999999</v>
      </c>
      <c r="I662" s="122">
        <f>F660*G662*H662</f>
        <v>52.884999999999998</v>
      </c>
    </row>
    <row r="663" spans="2:10" ht="15.75" thickBot="1" x14ac:dyDescent="0.3">
      <c r="B663" s="742"/>
      <c r="C663" s="743"/>
      <c r="D663" s="744" t="s">
        <v>174</v>
      </c>
      <c r="E663" s="745"/>
      <c r="F663" s="155"/>
      <c r="G663" s="120"/>
      <c r="H663" s="120"/>
      <c r="I663" s="119">
        <f>F658/F659</f>
        <v>56.25</v>
      </c>
    </row>
    <row r="664" spans="2:10" ht="15.75" thickTop="1" x14ac:dyDescent="0.25">
      <c r="B664" s="742"/>
      <c r="C664" s="743"/>
      <c r="D664" s="749" t="s">
        <v>167</v>
      </c>
      <c r="E664" s="750"/>
      <c r="F664" s="154"/>
      <c r="G664" s="120"/>
      <c r="H664" s="120"/>
      <c r="I664" s="156">
        <f>SUM(I661:I663)</f>
        <v>149.13499999999999</v>
      </c>
    </row>
    <row r="665" spans="2:10" ht="15.75" thickBot="1" x14ac:dyDescent="0.3">
      <c r="B665" s="721"/>
      <c r="C665" s="722"/>
      <c r="D665" s="723" t="s">
        <v>221</v>
      </c>
      <c r="E665" s="724"/>
      <c r="F665" s="157"/>
      <c r="G665" s="158"/>
      <c r="H665" s="159"/>
      <c r="I665" s="115">
        <f>(I664/F660)*0.05</f>
        <v>0.74567499999999998</v>
      </c>
    </row>
    <row r="666" spans="2:10" ht="15.75" thickBot="1" x14ac:dyDescent="0.3">
      <c r="B666" s="725"/>
      <c r="C666" s="726"/>
      <c r="D666" s="727" t="s">
        <v>41</v>
      </c>
      <c r="E666" s="728"/>
      <c r="F666" s="160"/>
      <c r="G666" s="129"/>
      <c r="H666" s="161"/>
      <c r="I666" s="131">
        <f>(I664/F660)+I665</f>
        <v>15.659174999999999</v>
      </c>
    </row>
    <row r="667" spans="2:10" x14ac:dyDescent="0.25">
      <c r="B667" s="132"/>
      <c r="C667" s="132"/>
      <c r="D667" s="133"/>
      <c r="E667" s="133"/>
      <c r="F667" s="162"/>
      <c r="G667" s="134"/>
      <c r="H667" s="134"/>
      <c r="I667" s="136"/>
    </row>
    <row r="668" spans="2:10" ht="15.75" thickBot="1" x14ac:dyDescent="0.3">
      <c r="B668" s="132"/>
      <c r="C668" s="132"/>
      <c r="D668" s="133"/>
      <c r="E668" s="133"/>
      <c r="F668" s="162"/>
      <c r="G668" s="134"/>
      <c r="H668" s="134"/>
      <c r="I668" s="136"/>
      <c r="J668" s="186"/>
    </row>
    <row r="669" spans="2:10" ht="15.75" thickBot="1" x14ac:dyDescent="0.3">
      <c r="B669" s="48" t="s">
        <v>92</v>
      </c>
      <c r="C669" s="729" t="str">
        <f>C714</f>
        <v>STROJNO ORODJE (cena brez operaterja)</v>
      </c>
      <c r="D669" s="730"/>
      <c r="E669" s="730"/>
      <c r="F669" s="730"/>
      <c r="G669" s="730"/>
      <c r="H669" s="730"/>
      <c r="I669" s="731"/>
    </row>
    <row r="670" spans="2:10" ht="23.25" thickBot="1" x14ac:dyDescent="0.3">
      <c r="B670" s="732" t="s">
        <v>37</v>
      </c>
      <c r="C670" s="733"/>
      <c r="D670" s="734" t="s">
        <v>38</v>
      </c>
      <c r="E670" s="735"/>
      <c r="F670" s="146" t="s">
        <v>39</v>
      </c>
      <c r="G670" s="106" t="s">
        <v>40</v>
      </c>
      <c r="H670" s="106" t="s">
        <v>41</v>
      </c>
      <c r="I670" s="107" t="s">
        <v>42</v>
      </c>
    </row>
    <row r="671" spans="2:10" x14ac:dyDescent="0.25">
      <c r="B671" s="736" t="s">
        <v>104</v>
      </c>
      <c r="C671" s="737"/>
      <c r="D671" s="738" t="str">
        <f>CENIK_št_1!B119</f>
        <v>Električni bencinski agregat</v>
      </c>
      <c r="E671" s="739"/>
      <c r="F671" s="147">
        <v>2500</v>
      </c>
      <c r="G671" s="148"/>
      <c r="H671" s="148"/>
      <c r="I671" s="149"/>
    </row>
    <row r="672" spans="2:10" x14ac:dyDescent="0.25">
      <c r="B672" s="110"/>
      <c r="C672" s="111"/>
      <c r="D672" s="740" t="s">
        <v>223</v>
      </c>
      <c r="E672" s="741"/>
      <c r="F672" s="150">
        <v>36</v>
      </c>
      <c r="G672" s="151"/>
      <c r="H672" s="151"/>
      <c r="I672" s="152"/>
    </row>
    <row r="673" spans="2:10" x14ac:dyDescent="0.25">
      <c r="B673" s="110"/>
      <c r="C673" s="111"/>
      <c r="D673" s="740" t="s">
        <v>222</v>
      </c>
      <c r="E673" s="741"/>
      <c r="F673" s="150">
        <v>20</v>
      </c>
      <c r="G673" s="151"/>
      <c r="H673" s="151"/>
      <c r="I673" s="152"/>
    </row>
    <row r="674" spans="2:10" ht="21.75" customHeight="1" x14ac:dyDescent="0.25">
      <c r="B674" s="742"/>
      <c r="C674" s="743"/>
      <c r="D674" s="746" t="s">
        <v>226</v>
      </c>
      <c r="E674" s="747"/>
      <c r="F674" s="154"/>
      <c r="G674" s="120"/>
      <c r="H674" s="112">
        <v>3</v>
      </c>
      <c r="I674" s="113">
        <f>F673*H674</f>
        <v>60</v>
      </c>
    </row>
    <row r="675" spans="2:10" ht="21.75" customHeight="1" x14ac:dyDescent="0.25">
      <c r="B675" s="742"/>
      <c r="C675" s="743"/>
      <c r="D675" s="753" t="s">
        <v>359</v>
      </c>
      <c r="E675" s="745"/>
      <c r="F675" s="154"/>
      <c r="G675" s="120">
        <v>2.5</v>
      </c>
      <c r="H675" s="112">
        <v>1.51</v>
      </c>
      <c r="I675" s="122">
        <f>F673*G675*H675</f>
        <v>75.5</v>
      </c>
    </row>
    <row r="676" spans="2:10" ht="15.75" thickBot="1" x14ac:dyDescent="0.3">
      <c r="B676" s="742"/>
      <c r="C676" s="743"/>
      <c r="D676" s="744" t="s">
        <v>174</v>
      </c>
      <c r="E676" s="745"/>
      <c r="F676" s="155"/>
      <c r="G676" s="120"/>
      <c r="H676" s="120"/>
      <c r="I676" s="119">
        <f>F671/F672</f>
        <v>69.444444444444443</v>
      </c>
    </row>
    <row r="677" spans="2:10" ht="15.75" thickTop="1" x14ac:dyDescent="0.25">
      <c r="B677" s="742"/>
      <c r="C677" s="743"/>
      <c r="D677" s="749" t="s">
        <v>167</v>
      </c>
      <c r="E677" s="750"/>
      <c r="F677" s="154"/>
      <c r="G677" s="120"/>
      <c r="H677" s="120"/>
      <c r="I677" s="156">
        <f>SUM(I674:I676)</f>
        <v>204.94444444444446</v>
      </c>
    </row>
    <row r="678" spans="2:10" ht="15.75" thickBot="1" x14ac:dyDescent="0.3">
      <c r="B678" s="721"/>
      <c r="C678" s="722"/>
      <c r="D678" s="723" t="s">
        <v>221</v>
      </c>
      <c r="E678" s="724"/>
      <c r="F678" s="157"/>
      <c r="G678" s="158"/>
      <c r="H678" s="159"/>
      <c r="I678" s="115">
        <f>(I677/F673)*0.05</f>
        <v>0.51236111111111116</v>
      </c>
    </row>
    <row r="679" spans="2:10" ht="15.75" thickBot="1" x14ac:dyDescent="0.3">
      <c r="B679" s="725"/>
      <c r="C679" s="726"/>
      <c r="D679" s="727" t="s">
        <v>41</v>
      </c>
      <c r="E679" s="728"/>
      <c r="F679" s="160"/>
      <c r="G679" s="129"/>
      <c r="H679" s="161"/>
      <c r="I679" s="131">
        <f>(I677/F673)+I678</f>
        <v>10.759583333333335</v>
      </c>
    </row>
    <row r="680" spans="2:10" ht="15.75" thickBot="1" x14ac:dyDescent="0.3">
      <c r="B680" s="132"/>
      <c r="C680" s="132"/>
      <c r="D680" s="133"/>
      <c r="E680" s="133"/>
      <c r="F680" s="162"/>
      <c r="G680" s="134"/>
      <c r="H680" s="134"/>
      <c r="I680" s="136"/>
      <c r="J680" s="186"/>
    </row>
    <row r="681" spans="2:10" ht="15.75" thickBot="1" x14ac:dyDescent="0.3">
      <c r="B681" s="48" t="s">
        <v>92</v>
      </c>
      <c r="C681" s="729" t="str">
        <f>C656</f>
        <v>STROJNO ORODJE (cena brez operaterja)</v>
      </c>
      <c r="D681" s="730"/>
      <c r="E681" s="730"/>
      <c r="F681" s="730"/>
      <c r="G681" s="730"/>
      <c r="H681" s="731"/>
      <c r="I681" s="105"/>
    </row>
    <row r="682" spans="2:10" ht="23.25" thickBot="1" x14ac:dyDescent="0.3">
      <c r="B682" s="732" t="s">
        <v>37</v>
      </c>
      <c r="C682" s="733"/>
      <c r="D682" s="734" t="s">
        <v>38</v>
      </c>
      <c r="E682" s="735"/>
      <c r="F682" s="146" t="s">
        <v>39</v>
      </c>
      <c r="G682" s="106" t="s">
        <v>41</v>
      </c>
      <c r="H682" s="107" t="s">
        <v>42</v>
      </c>
    </row>
    <row r="683" spans="2:10" x14ac:dyDescent="0.25">
      <c r="B683" s="736" t="s">
        <v>105</v>
      </c>
      <c r="C683" s="737"/>
      <c r="D683" s="738" t="str">
        <f>CENIK_št_1!B120</f>
        <v>Električno udarno kladivo</v>
      </c>
      <c r="E683" s="739"/>
      <c r="F683" s="147">
        <v>1200</v>
      </c>
      <c r="G683" s="148"/>
      <c r="H683" s="149"/>
    </row>
    <row r="684" spans="2:10" x14ac:dyDescent="0.25">
      <c r="B684" s="110"/>
      <c r="C684" s="111"/>
      <c r="D684" s="740" t="s">
        <v>223</v>
      </c>
      <c r="E684" s="741"/>
      <c r="F684" s="150">
        <v>12</v>
      </c>
      <c r="G684" s="151"/>
      <c r="H684" s="152"/>
    </row>
    <row r="685" spans="2:10" x14ac:dyDescent="0.25">
      <c r="B685" s="110"/>
      <c r="C685" s="111"/>
      <c r="D685" s="740" t="s">
        <v>222</v>
      </c>
      <c r="E685" s="741"/>
      <c r="F685" s="150">
        <v>12.5</v>
      </c>
      <c r="G685" s="151"/>
      <c r="H685" s="152"/>
    </row>
    <row r="686" spans="2:10" ht="24.75" customHeight="1" x14ac:dyDescent="0.25">
      <c r="B686" s="742"/>
      <c r="C686" s="743"/>
      <c r="D686" s="746" t="s">
        <v>226</v>
      </c>
      <c r="E686" s="747"/>
      <c r="F686" s="154"/>
      <c r="G686" s="112">
        <v>2.5</v>
      </c>
      <c r="H686" s="113">
        <f>F685*G686</f>
        <v>31.25</v>
      </c>
    </row>
    <row r="687" spans="2:10" ht="21.75" customHeight="1" thickBot="1" x14ac:dyDescent="0.3">
      <c r="B687" s="742"/>
      <c r="C687" s="743"/>
      <c r="D687" s="744" t="s">
        <v>174</v>
      </c>
      <c r="E687" s="745"/>
      <c r="F687" s="155"/>
      <c r="G687" s="120"/>
      <c r="H687" s="119">
        <f>F683/F684</f>
        <v>100</v>
      </c>
    </row>
    <row r="688" spans="2:10" ht="15.75" thickTop="1" x14ac:dyDescent="0.25">
      <c r="B688" s="742"/>
      <c r="C688" s="743"/>
      <c r="D688" s="749" t="s">
        <v>167</v>
      </c>
      <c r="E688" s="750"/>
      <c r="F688" s="154"/>
      <c r="G688" s="120"/>
      <c r="H688" s="156">
        <f>SUM(H686:H687)</f>
        <v>131.25</v>
      </c>
    </row>
    <row r="689" spans="2:9" ht="15.75" thickBot="1" x14ac:dyDescent="0.3">
      <c r="B689" s="721"/>
      <c r="C689" s="722"/>
      <c r="D689" s="723" t="s">
        <v>221</v>
      </c>
      <c r="E689" s="724"/>
      <c r="F689" s="157"/>
      <c r="G689" s="159"/>
      <c r="H689" s="115">
        <f>(H688/F685)*0.05</f>
        <v>0.52500000000000002</v>
      </c>
    </row>
    <row r="690" spans="2:9" ht="15.75" thickBot="1" x14ac:dyDescent="0.3">
      <c r="B690" s="725"/>
      <c r="C690" s="726"/>
      <c r="D690" s="727" t="s">
        <v>41</v>
      </c>
      <c r="E690" s="728"/>
      <c r="F690" s="160"/>
      <c r="G690" s="161"/>
      <c r="H690" s="131">
        <f>(H688/F685)+H689</f>
        <v>11.025</v>
      </c>
    </row>
    <row r="691" spans="2:9" ht="15.75" thickBot="1" x14ac:dyDescent="0.3"/>
    <row r="692" spans="2:9" ht="15.75" thickBot="1" x14ac:dyDescent="0.3">
      <c r="B692" s="48" t="s">
        <v>92</v>
      </c>
      <c r="C692" s="729" t="str">
        <f>C681</f>
        <v>STROJNO ORODJE (cena brez operaterja)</v>
      </c>
      <c r="D692" s="730"/>
      <c r="E692" s="730"/>
      <c r="F692" s="730"/>
      <c r="G692" s="730"/>
      <c r="H692" s="731"/>
      <c r="I692" s="105"/>
    </row>
    <row r="693" spans="2:9" ht="23.25" thickBot="1" x14ac:dyDescent="0.3">
      <c r="B693" s="732" t="s">
        <v>37</v>
      </c>
      <c r="C693" s="733"/>
      <c r="D693" s="734" t="s">
        <v>38</v>
      </c>
      <c r="E693" s="735"/>
      <c r="F693" s="146" t="s">
        <v>39</v>
      </c>
      <c r="G693" s="106" t="s">
        <v>41</v>
      </c>
      <c r="H693" s="107" t="s">
        <v>42</v>
      </c>
    </row>
    <row r="694" spans="2:9" x14ac:dyDescent="0.25">
      <c r="B694" s="736" t="s">
        <v>106</v>
      </c>
      <c r="C694" s="737"/>
      <c r="D694" s="738" t="str">
        <f>CENIK_št_1!B121</f>
        <v>Električno udarno kladivo kobra</v>
      </c>
      <c r="E694" s="739"/>
      <c r="F694" s="147">
        <v>2500</v>
      </c>
      <c r="G694" s="148"/>
      <c r="H694" s="149"/>
    </row>
    <row r="695" spans="2:9" x14ac:dyDescent="0.25">
      <c r="B695" s="110"/>
      <c r="C695" s="111"/>
      <c r="D695" s="740" t="s">
        <v>223</v>
      </c>
      <c r="E695" s="741"/>
      <c r="F695" s="150">
        <v>24</v>
      </c>
      <c r="G695" s="151"/>
      <c r="H695" s="152"/>
    </row>
    <row r="696" spans="2:9" x14ac:dyDescent="0.25">
      <c r="B696" s="110"/>
      <c r="C696" s="111"/>
      <c r="D696" s="740" t="s">
        <v>222</v>
      </c>
      <c r="E696" s="741"/>
      <c r="F696" s="150">
        <v>10</v>
      </c>
      <c r="G696" s="151"/>
      <c r="H696" s="152"/>
    </row>
    <row r="697" spans="2:9" ht="23.25" customHeight="1" x14ac:dyDescent="0.25">
      <c r="B697" s="742"/>
      <c r="C697" s="743"/>
      <c r="D697" s="746" t="s">
        <v>226</v>
      </c>
      <c r="E697" s="747"/>
      <c r="F697" s="154"/>
      <c r="G697" s="112">
        <v>3</v>
      </c>
      <c r="H697" s="113">
        <f>F696*G697</f>
        <v>30</v>
      </c>
    </row>
    <row r="698" spans="2:9" ht="21.75" customHeight="1" thickBot="1" x14ac:dyDescent="0.3">
      <c r="B698" s="742"/>
      <c r="C698" s="743"/>
      <c r="D698" s="744" t="s">
        <v>174</v>
      </c>
      <c r="E698" s="745"/>
      <c r="F698" s="155"/>
      <c r="G698" s="120"/>
      <c r="H698" s="119">
        <f>F694/F695</f>
        <v>104.16666666666667</v>
      </c>
    </row>
    <row r="699" spans="2:9" ht="15.75" thickTop="1" x14ac:dyDescent="0.25">
      <c r="B699" s="742"/>
      <c r="C699" s="743"/>
      <c r="D699" s="749" t="s">
        <v>167</v>
      </c>
      <c r="E699" s="750"/>
      <c r="F699" s="154"/>
      <c r="G699" s="120"/>
      <c r="H699" s="156">
        <f>SUM(H697:H698)</f>
        <v>134.16666666666669</v>
      </c>
    </row>
    <row r="700" spans="2:9" ht="15.75" thickBot="1" x14ac:dyDescent="0.3">
      <c r="B700" s="721"/>
      <c r="C700" s="722"/>
      <c r="D700" s="723" t="s">
        <v>221</v>
      </c>
      <c r="E700" s="724"/>
      <c r="F700" s="157"/>
      <c r="G700" s="159"/>
      <c r="H700" s="115">
        <f>(H699/F696)*0.05</f>
        <v>0.67083333333333339</v>
      </c>
    </row>
    <row r="701" spans="2:9" ht="15.75" thickBot="1" x14ac:dyDescent="0.3">
      <c r="B701" s="725"/>
      <c r="C701" s="726"/>
      <c r="D701" s="727" t="s">
        <v>41</v>
      </c>
      <c r="E701" s="728"/>
      <c r="F701" s="160"/>
      <c r="G701" s="161"/>
      <c r="H701" s="131">
        <f>(H699/F696)+H700</f>
        <v>14.087500000000002</v>
      </c>
    </row>
    <row r="702" spans="2:9" ht="15.75" thickBot="1" x14ac:dyDescent="0.3">
      <c r="B702" s="132"/>
      <c r="C702" s="132"/>
      <c r="D702" s="133"/>
      <c r="E702" s="133"/>
      <c r="F702" s="162"/>
      <c r="G702" s="134"/>
      <c r="H702" s="134"/>
      <c r="I702" s="136"/>
    </row>
    <row r="703" spans="2:9" ht="15.75" thickBot="1" x14ac:dyDescent="0.3">
      <c r="B703" s="48" t="s">
        <v>92</v>
      </c>
      <c r="C703" s="729" t="str">
        <f>C692</f>
        <v>STROJNO ORODJE (cena brez operaterja)</v>
      </c>
      <c r="D703" s="730"/>
      <c r="E703" s="730"/>
      <c r="F703" s="730"/>
      <c r="G703" s="730"/>
      <c r="H703" s="731"/>
      <c r="I703" s="105"/>
    </row>
    <row r="704" spans="2:9" ht="23.25" thickBot="1" x14ac:dyDescent="0.3">
      <c r="B704" s="732" t="s">
        <v>37</v>
      </c>
      <c r="C704" s="733"/>
      <c r="D704" s="734" t="s">
        <v>38</v>
      </c>
      <c r="E704" s="735"/>
      <c r="F704" s="146" t="s">
        <v>39</v>
      </c>
      <c r="G704" s="106" t="s">
        <v>41</v>
      </c>
      <c r="H704" s="107" t="s">
        <v>42</v>
      </c>
    </row>
    <row r="705" spans="2:9" x14ac:dyDescent="0.25">
      <c r="B705" s="736" t="s">
        <v>107</v>
      </c>
      <c r="C705" s="737"/>
      <c r="D705" s="738" t="str">
        <f>CENIK_št_1!B122</f>
        <v>Vibracijski vrtalnik</v>
      </c>
      <c r="E705" s="739"/>
      <c r="F705" s="147">
        <v>1000</v>
      </c>
      <c r="G705" s="148"/>
      <c r="H705" s="149"/>
    </row>
    <row r="706" spans="2:9" x14ac:dyDescent="0.25">
      <c r="B706" s="110"/>
      <c r="C706" s="111"/>
      <c r="D706" s="740" t="s">
        <v>223</v>
      </c>
      <c r="E706" s="741"/>
      <c r="F706" s="150">
        <v>12</v>
      </c>
      <c r="G706" s="151"/>
      <c r="H706" s="152"/>
    </row>
    <row r="707" spans="2:9" x14ac:dyDescent="0.25">
      <c r="B707" s="110"/>
      <c r="C707" s="111"/>
      <c r="D707" s="740" t="s">
        <v>222</v>
      </c>
      <c r="E707" s="741"/>
      <c r="F707" s="150">
        <v>15</v>
      </c>
      <c r="G707" s="151"/>
      <c r="H707" s="152"/>
    </row>
    <row r="708" spans="2:9" ht="25.5" customHeight="1" x14ac:dyDescent="0.25">
      <c r="B708" s="742"/>
      <c r="C708" s="743"/>
      <c r="D708" s="746" t="s">
        <v>226</v>
      </c>
      <c r="E708" s="747"/>
      <c r="F708" s="154"/>
      <c r="G708" s="112">
        <v>3</v>
      </c>
      <c r="H708" s="113">
        <f>F707*G708</f>
        <v>45</v>
      </c>
    </row>
    <row r="709" spans="2:9" ht="21.75" customHeight="1" thickBot="1" x14ac:dyDescent="0.3">
      <c r="B709" s="742"/>
      <c r="C709" s="743"/>
      <c r="D709" s="744" t="s">
        <v>174</v>
      </c>
      <c r="E709" s="745"/>
      <c r="F709" s="155"/>
      <c r="G709" s="120"/>
      <c r="H709" s="119">
        <f>F705/F706</f>
        <v>83.333333333333329</v>
      </c>
    </row>
    <row r="710" spans="2:9" ht="15.75" thickTop="1" x14ac:dyDescent="0.25">
      <c r="B710" s="742"/>
      <c r="C710" s="743"/>
      <c r="D710" s="749" t="s">
        <v>167</v>
      </c>
      <c r="E710" s="750"/>
      <c r="F710" s="154"/>
      <c r="G710" s="120"/>
      <c r="H710" s="156">
        <f>SUM(H708:H709)</f>
        <v>128.33333333333331</v>
      </c>
    </row>
    <row r="711" spans="2:9" ht="15.75" thickBot="1" x14ac:dyDescent="0.3">
      <c r="B711" s="721"/>
      <c r="C711" s="722"/>
      <c r="D711" s="723" t="s">
        <v>221</v>
      </c>
      <c r="E711" s="724"/>
      <c r="F711" s="157"/>
      <c r="G711" s="159"/>
      <c r="H711" s="115">
        <f>(H710/F707)*0.05</f>
        <v>0.4277777777777777</v>
      </c>
    </row>
    <row r="712" spans="2:9" ht="15.75" thickBot="1" x14ac:dyDescent="0.3">
      <c r="B712" s="725"/>
      <c r="C712" s="726"/>
      <c r="D712" s="727" t="s">
        <v>41</v>
      </c>
      <c r="E712" s="728"/>
      <c r="F712" s="160"/>
      <c r="G712" s="161"/>
      <c r="H712" s="131">
        <f>(H710/F707)+H711</f>
        <v>8.9833333333333307</v>
      </c>
    </row>
    <row r="713" spans="2:9" ht="15.75" thickBot="1" x14ac:dyDescent="0.3"/>
    <row r="714" spans="2:9" ht="15.75" thickBot="1" x14ac:dyDescent="0.3">
      <c r="B714" s="48" t="s">
        <v>92</v>
      </c>
      <c r="C714" s="729" t="str">
        <f>C692</f>
        <v>STROJNO ORODJE (cena brez operaterja)</v>
      </c>
      <c r="D714" s="730"/>
      <c r="E714" s="730"/>
      <c r="F714" s="730"/>
      <c r="G714" s="730"/>
      <c r="H714" s="731"/>
      <c r="I714" s="105"/>
    </row>
    <row r="715" spans="2:9" ht="23.25" thickBot="1" x14ac:dyDescent="0.3">
      <c r="B715" s="732" t="s">
        <v>37</v>
      </c>
      <c r="C715" s="795"/>
      <c r="D715" s="734" t="s">
        <v>38</v>
      </c>
      <c r="E715" s="802"/>
      <c r="F715" s="146" t="s">
        <v>39</v>
      </c>
      <c r="G715" s="106" t="s">
        <v>41</v>
      </c>
      <c r="H715" s="107" t="s">
        <v>42</v>
      </c>
    </row>
    <row r="716" spans="2:9" ht="23.25" customHeight="1" x14ac:dyDescent="0.25">
      <c r="B716" s="736" t="s">
        <v>108</v>
      </c>
      <c r="C716" s="757"/>
      <c r="D716" s="738" t="str">
        <f>CENIK_št_1!B123</f>
        <v xml:space="preserve">Rezalka električna </v>
      </c>
      <c r="E716" s="739"/>
      <c r="F716" s="147">
        <v>580</v>
      </c>
      <c r="G716" s="148"/>
      <c r="H716" s="149"/>
    </row>
    <row r="717" spans="2:9" x14ac:dyDescent="0.25">
      <c r="B717" s="110"/>
      <c r="C717" s="111"/>
      <c r="D717" s="740" t="s">
        <v>223</v>
      </c>
      <c r="E717" s="779"/>
      <c r="F717" s="150">
        <v>12</v>
      </c>
      <c r="G717" s="151"/>
      <c r="H717" s="152"/>
    </row>
    <row r="718" spans="2:9" ht="15" customHeight="1" x14ac:dyDescent="0.25">
      <c r="B718" s="110"/>
      <c r="C718" s="111"/>
      <c r="D718" s="740" t="s">
        <v>222</v>
      </c>
      <c r="E718" s="779"/>
      <c r="F718" s="150">
        <v>10</v>
      </c>
      <c r="G718" s="151"/>
      <c r="H718" s="152"/>
    </row>
    <row r="719" spans="2:9" ht="23.25" customHeight="1" x14ac:dyDescent="0.25">
      <c r="B719" s="803"/>
      <c r="C719" s="804"/>
      <c r="D719" s="857" t="s">
        <v>226</v>
      </c>
      <c r="E719" s="813"/>
      <c r="F719" s="154"/>
      <c r="G719" s="112">
        <v>2</v>
      </c>
      <c r="H719" s="113">
        <f>F718*G719</f>
        <v>20</v>
      </c>
    </row>
    <row r="720" spans="2:9" ht="21.75" customHeight="1" thickBot="1" x14ac:dyDescent="0.3">
      <c r="B720" s="803"/>
      <c r="C720" s="804"/>
      <c r="D720" s="810" t="s">
        <v>174</v>
      </c>
      <c r="E720" s="843"/>
      <c r="F720" s="155"/>
      <c r="G720" s="120"/>
      <c r="H720" s="119">
        <f>F716/F717</f>
        <v>48.333333333333336</v>
      </c>
    </row>
    <row r="721" spans="2:9" ht="15.75" thickTop="1" x14ac:dyDescent="0.25">
      <c r="B721" s="803"/>
      <c r="C721" s="804"/>
      <c r="D721" s="812" t="s">
        <v>167</v>
      </c>
      <c r="E721" s="811"/>
      <c r="F721" s="154"/>
      <c r="G721" s="120"/>
      <c r="H721" s="156">
        <f>SUM(H719:H720)</f>
        <v>68.333333333333343</v>
      </c>
    </row>
    <row r="722" spans="2:9" ht="15.75" thickBot="1" x14ac:dyDescent="0.3">
      <c r="B722" s="775"/>
      <c r="C722" s="776"/>
      <c r="D722" s="777" t="s">
        <v>221</v>
      </c>
      <c r="E722" s="778"/>
      <c r="F722" s="157"/>
      <c r="G722" s="159"/>
      <c r="H722" s="115">
        <f>(H721/F718)*0.05</f>
        <v>0.34166666666666673</v>
      </c>
    </row>
    <row r="723" spans="2:9" ht="15.75" thickBot="1" x14ac:dyDescent="0.3">
      <c r="B723" s="725"/>
      <c r="C723" s="726"/>
      <c r="D723" s="727" t="s">
        <v>41</v>
      </c>
      <c r="E723" s="728"/>
      <c r="F723" s="160"/>
      <c r="G723" s="161"/>
      <c r="H723" s="131">
        <f>(H721/F718)+H722</f>
        <v>7.1750000000000007</v>
      </c>
    </row>
    <row r="724" spans="2:9" ht="15.75" thickBot="1" x14ac:dyDescent="0.3"/>
    <row r="725" spans="2:9" ht="15.75" thickBot="1" x14ac:dyDescent="0.3">
      <c r="B725" s="48" t="s">
        <v>92</v>
      </c>
      <c r="C725" s="729" t="str">
        <f>C669</f>
        <v>STROJNO ORODJE (cena brez operaterja)</v>
      </c>
      <c r="D725" s="730"/>
      <c r="E725" s="730"/>
      <c r="F725" s="730"/>
      <c r="G725" s="730"/>
      <c r="H725" s="731"/>
      <c r="I725" s="105"/>
    </row>
    <row r="726" spans="2:9" ht="23.25" thickBot="1" x14ac:dyDescent="0.3">
      <c r="B726" s="732" t="s">
        <v>37</v>
      </c>
      <c r="C726" s="795"/>
      <c r="D726" s="734" t="s">
        <v>38</v>
      </c>
      <c r="E726" s="802"/>
      <c r="F726" s="146" t="s">
        <v>39</v>
      </c>
      <c r="G726" s="106" t="s">
        <v>41</v>
      </c>
      <c r="H726" s="107" t="s">
        <v>42</v>
      </c>
    </row>
    <row r="727" spans="2:9" ht="23.25" customHeight="1" x14ac:dyDescent="0.25">
      <c r="B727" s="736" t="s">
        <v>109</v>
      </c>
      <c r="C727" s="757"/>
      <c r="D727" s="738" t="str">
        <f>CENIK_št_1!B124</f>
        <v>Mešalec za beton</v>
      </c>
      <c r="E727" s="739"/>
      <c r="F727" s="147">
        <v>750</v>
      </c>
      <c r="G727" s="148"/>
      <c r="H727" s="149"/>
    </row>
    <row r="728" spans="2:9" x14ac:dyDescent="0.25">
      <c r="B728" s="110"/>
      <c r="C728" s="111"/>
      <c r="D728" s="740" t="s">
        <v>223</v>
      </c>
      <c r="E728" s="779"/>
      <c r="F728" s="150">
        <v>24</v>
      </c>
      <c r="G728" s="151"/>
      <c r="H728" s="152"/>
    </row>
    <row r="729" spans="2:9" ht="15" customHeight="1" x14ac:dyDescent="0.25">
      <c r="B729" s="110"/>
      <c r="C729" s="111"/>
      <c r="D729" s="740" t="s">
        <v>222</v>
      </c>
      <c r="E729" s="779"/>
      <c r="F729" s="150">
        <v>4.7</v>
      </c>
      <c r="G729" s="151"/>
      <c r="H729" s="152"/>
    </row>
    <row r="730" spans="2:9" ht="24.75" customHeight="1" x14ac:dyDescent="0.25">
      <c r="B730" s="803"/>
      <c r="C730" s="804"/>
      <c r="D730" s="857" t="s">
        <v>226</v>
      </c>
      <c r="E730" s="813"/>
      <c r="F730" s="154"/>
      <c r="G730" s="112">
        <v>1</v>
      </c>
      <c r="H730" s="113">
        <f>F729*G730</f>
        <v>4.7</v>
      </c>
    </row>
    <row r="731" spans="2:9" ht="21.75" customHeight="1" thickBot="1" x14ac:dyDescent="0.3">
      <c r="B731" s="803"/>
      <c r="C731" s="804"/>
      <c r="D731" s="810" t="s">
        <v>174</v>
      </c>
      <c r="E731" s="843"/>
      <c r="F731" s="155"/>
      <c r="G731" s="120"/>
      <c r="H731" s="119">
        <f>F727/F728</f>
        <v>31.25</v>
      </c>
    </row>
    <row r="732" spans="2:9" ht="15.75" thickTop="1" x14ac:dyDescent="0.25">
      <c r="B732" s="803"/>
      <c r="C732" s="804"/>
      <c r="D732" s="812" t="s">
        <v>167</v>
      </c>
      <c r="E732" s="811"/>
      <c r="F732" s="154"/>
      <c r="G732" s="120"/>
      <c r="H732" s="156">
        <f>SUM(H730:H731)</f>
        <v>35.950000000000003</v>
      </c>
    </row>
    <row r="733" spans="2:9" ht="15.75" thickBot="1" x14ac:dyDescent="0.3">
      <c r="B733" s="775"/>
      <c r="C733" s="776"/>
      <c r="D733" s="777" t="s">
        <v>221</v>
      </c>
      <c r="E733" s="778"/>
      <c r="F733" s="157"/>
      <c r="G733" s="159"/>
      <c r="H733" s="115">
        <f>(H732/F729)*0.05</f>
        <v>0.38244680851063834</v>
      </c>
    </row>
    <row r="734" spans="2:9" ht="15.75" thickBot="1" x14ac:dyDescent="0.3">
      <c r="B734" s="725"/>
      <c r="C734" s="726"/>
      <c r="D734" s="727" t="s">
        <v>41</v>
      </c>
      <c r="E734" s="728"/>
      <c r="F734" s="160"/>
      <c r="G734" s="161"/>
      <c r="H734" s="131">
        <f>(H732/F729)+H733</f>
        <v>8.0313829787234052</v>
      </c>
    </row>
    <row r="735" spans="2:9" ht="15.75" thickBot="1" x14ac:dyDescent="0.3"/>
    <row r="736" spans="2:9" ht="15.75" thickBot="1" x14ac:dyDescent="0.3">
      <c r="B736" s="48" t="s">
        <v>92</v>
      </c>
      <c r="C736" s="729" t="str">
        <f>C725</f>
        <v>STROJNO ORODJE (cena brez operaterja)</v>
      </c>
      <c r="D736" s="730"/>
      <c r="E736" s="730"/>
      <c r="F736" s="730"/>
      <c r="G736" s="730"/>
      <c r="H736" s="731"/>
      <c r="I736" s="105"/>
    </row>
    <row r="737" spans="2:9" ht="23.25" thickBot="1" x14ac:dyDescent="0.3">
      <c r="B737" s="732" t="s">
        <v>37</v>
      </c>
      <c r="C737" s="795"/>
      <c r="D737" s="734" t="s">
        <v>38</v>
      </c>
      <c r="E737" s="802"/>
      <c r="F737" s="146" t="s">
        <v>39</v>
      </c>
      <c r="G737" s="106" t="s">
        <v>41</v>
      </c>
      <c r="H737" s="107" t="s">
        <v>42</v>
      </c>
    </row>
    <row r="738" spans="2:9" ht="23.25" customHeight="1" x14ac:dyDescent="0.25">
      <c r="B738" s="736" t="s">
        <v>110</v>
      </c>
      <c r="C738" s="757"/>
      <c r="D738" s="738" t="str">
        <f>CENIK_št_1!B125</f>
        <v>Krožna žaga namizna</v>
      </c>
      <c r="E738" s="739"/>
      <c r="F738" s="147">
        <v>1800</v>
      </c>
      <c r="G738" s="148"/>
      <c r="H738" s="149"/>
    </row>
    <row r="739" spans="2:9" x14ac:dyDescent="0.25">
      <c r="B739" s="110"/>
      <c r="C739" s="111"/>
      <c r="D739" s="740" t="s">
        <v>223</v>
      </c>
      <c r="E739" s="779"/>
      <c r="F739" s="150">
        <v>36</v>
      </c>
      <c r="G739" s="151"/>
      <c r="H739" s="152"/>
    </row>
    <row r="740" spans="2:9" ht="15" customHeight="1" x14ac:dyDescent="0.25">
      <c r="B740" s="110"/>
      <c r="C740" s="111"/>
      <c r="D740" s="740" t="s">
        <v>222</v>
      </c>
      <c r="E740" s="779"/>
      <c r="F740" s="150">
        <v>9</v>
      </c>
      <c r="G740" s="151"/>
      <c r="H740" s="152"/>
    </row>
    <row r="741" spans="2:9" ht="22.5" customHeight="1" x14ac:dyDescent="0.25">
      <c r="B741" s="803"/>
      <c r="C741" s="804"/>
      <c r="D741" s="857" t="s">
        <v>226</v>
      </c>
      <c r="E741" s="813"/>
      <c r="F741" s="154"/>
      <c r="G741" s="112">
        <v>3</v>
      </c>
      <c r="H741" s="113">
        <f>F740*G741</f>
        <v>27</v>
      </c>
    </row>
    <row r="742" spans="2:9" ht="21.75" customHeight="1" thickBot="1" x14ac:dyDescent="0.3">
      <c r="B742" s="803"/>
      <c r="C742" s="804"/>
      <c r="D742" s="810" t="s">
        <v>174</v>
      </c>
      <c r="E742" s="843"/>
      <c r="F742" s="155"/>
      <c r="G742" s="120"/>
      <c r="H742" s="119">
        <f>F738/F739</f>
        <v>50</v>
      </c>
    </row>
    <row r="743" spans="2:9" ht="15.75" thickTop="1" x14ac:dyDescent="0.25">
      <c r="B743" s="803"/>
      <c r="C743" s="804"/>
      <c r="D743" s="812" t="s">
        <v>167</v>
      </c>
      <c r="E743" s="811"/>
      <c r="F743" s="154"/>
      <c r="G743" s="120"/>
      <c r="H743" s="156">
        <f>SUM(H741:H742)</f>
        <v>77</v>
      </c>
    </row>
    <row r="744" spans="2:9" ht="15.75" thickBot="1" x14ac:dyDescent="0.3">
      <c r="B744" s="775"/>
      <c r="C744" s="776"/>
      <c r="D744" s="777" t="s">
        <v>221</v>
      </c>
      <c r="E744" s="778"/>
      <c r="F744" s="157"/>
      <c r="G744" s="159"/>
      <c r="H744" s="115">
        <f>(H743/F740)*0.05</f>
        <v>0.42777777777777781</v>
      </c>
    </row>
    <row r="745" spans="2:9" ht="15.75" thickBot="1" x14ac:dyDescent="0.3">
      <c r="B745" s="725"/>
      <c r="C745" s="726"/>
      <c r="D745" s="727" t="s">
        <v>41</v>
      </c>
      <c r="E745" s="728"/>
      <c r="F745" s="160"/>
      <c r="G745" s="161"/>
      <c r="H745" s="131">
        <f>(H743/F740)+H744</f>
        <v>8.9833333333333325</v>
      </c>
    </row>
    <row r="746" spans="2:9" ht="15.75" thickBot="1" x14ac:dyDescent="0.3"/>
    <row r="747" spans="2:9" ht="15.75" thickBot="1" x14ac:dyDescent="0.3">
      <c r="B747" s="48" t="s">
        <v>92</v>
      </c>
      <c r="C747" s="729" t="str">
        <f>C725</f>
        <v>STROJNO ORODJE (cena brez operaterja)</v>
      </c>
      <c r="D747" s="730"/>
      <c r="E747" s="730"/>
      <c r="F747" s="730"/>
      <c r="G747" s="730"/>
      <c r="H747" s="731"/>
      <c r="I747" s="105"/>
    </row>
    <row r="748" spans="2:9" ht="23.25" thickBot="1" x14ac:dyDescent="0.3">
      <c r="B748" s="732" t="s">
        <v>37</v>
      </c>
      <c r="C748" s="795"/>
      <c r="D748" s="734" t="s">
        <v>38</v>
      </c>
      <c r="E748" s="802"/>
      <c r="F748" s="146" t="s">
        <v>39</v>
      </c>
      <c r="G748" s="106" t="s">
        <v>41</v>
      </c>
      <c r="H748" s="107" t="s">
        <v>42</v>
      </c>
    </row>
    <row r="749" spans="2:9" ht="23.25" customHeight="1" x14ac:dyDescent="0.25">
      <c r="B749" s="736" t="s">
        <v>111</v>
      </c>
      <c r="C749" s="757"/>
      <c r="D749" s="738" t="str">
        <f>CENIK_št_1!B126</f>
        <v>Stroj za rezanje asfalta</v>
      </c>
      <c r="E749" s="739"/>
      <c r="F749" s="147">
        <v>2600</v>
      </c>
      <c r="G749" s="148"/>
      <c r="H749" s="149"/>
    </row>
    <row r="750" spans="2:9" x14ac:dyDescent="0.25">
      <c r="B750" s="110"/>
      <c r="C750" s="111"/>
      <c r="D750" s="740" t="s">
        <v>223</v>
      </c>
      <c r="E750" s="779"/>
      <c r="F750" s="150">
        <v>36</v>
      </c>
      <c r="G750" s="151"/>
      <c r="H750" s="152"/>
    </row>
    <row r="751" spans="2:9" ht="15" customHeight="1" x14ac:dyDescent="0.25">
      <c r="B751" s="110"/>
      <c r="C751" s="111"/>
      <c r="D751" s="740" t="s">
        <v>222</v>
      </c>
      <c r="E751" s="779"/>
      <c r="F751" s="150">
        <v>10</v>
      </c>
      <c r="G751" s="151"/>
      <c r="H751" s="152"/>
    </row>
    <row r="752" spans="2:9" ht="25.5" customHeight="1" x14ac:dyDescent="0.25">
      <c r="B752" s="803"/>
      <c r="C752" s="804"/>
      <c r="D752" s="857" t="s">
        <v>226</v>
      </c>
      <c r="E752" s="813"/>
      <c r="F752" s="154"/>
      <c r="G752" s="112">
        <v>3.5</v>
      </c>
      <c r="H752" s="113">
        <f>F751*G752</f>
        <v>35</v>
      </c>
    </row>
    <row r="753" spans="2:9" ht="25.5" customHeight="1" x14ac:dyDescent="0.25">
      <c r="B753" s="142"/>
      <c r="C753" s="143"/>
      <c r="D753" s="753" t="s">
        <v>359</v>
      </c>
      <c r="E753" s="745"/>
      <c r="F753" s="154">
        <v>3</v>
      </c>
      <c r="G753" s="112">
        <v>1.19</v>
      </c>
      <c r="H753" s="115">
        <f>F751*F753*G753</f>
        <v>35.699999999999996</v>
      </c>
    </row>
    <row r="754" spans="2:9" ht="21.75" customHeight="1" thickBot="1" x14ac:dyDescent="0.3">
      <c r="B754" s="803"/>
      <c r="C754" s="804"/>
      <c r="D754" s="810" t="s">
        <v>174</v>
      </c>
      <c r="E754" s="843"/>
      <c r="F754" s="155"/>
      <c r="G754" s="120"/>
      <c r="H754" s="119">
        <f>F749/F750</f>
        <v>72.222222222222229</v>
      </c>
    </row>
    <row r="755" spans="2:9" ht="15.75" thickTop="1" x14ac:dyDescent="0.25">
      <c r="B755" s="803"/>
      <c r="C755" s="804"/>
      <c r="D755" s="812" t="s">
        <v>167</v>
      </c>
      <c r="E755" s="811"/>
      <c r="F755" s="154"/>
      <c r="G755" s="120"/>
      <c r="H755" s="156">
        <f>SUM(H752:H754)</f>
        <v>142.92222222222222</v>
      </c>
    </row>
    <row r="756" spans="2:9" ht="15.75" thickBot="1" x14ac:dyDescent="0.3">
      <c r="B756" s="775"/>
      <c r="C756" s="776"/>
      <c r="D756" s="777" t="s">
        <v>221</v>
      </c>
      <c r="E756" s="778"/>
      <c r="F756" s="157"/>
      <c r="G756" s="159"/>
      <c r="H756" s="115">
        <f>(H755/F751)*0.05</f>
        <v>0.71461111111111109</v>
      </c>
    </row>
    <row r="757" spans="2:9" ht="15.75" thickBot="1" x14ac:dyDescent="0.3">
      <c r="B757" s="725"/>
      <c r="C757" s="726"/>
      <c r="D757" s="727" t="s">
        <v>41</v>
      </c>
      <c r="E757" s="728"/>
      <c r="F757" s="160"/>
      <c r="G757" s="161"/>
      <c r="H757" s="131">
        <f>(H755/F751)+H756</f>
        <v>15.006833333333333</v>
      </c>
    </row>
    <row r="758" spans="2:9" ht="23.25" thickBot="1" x14ac:dyDescent="0.3">
      <c r="B758" s="755"/>
      <c r="C758" s="786"/>
      <c r="D758" s="800" t="s">
        <v>38</v>
      </c>
      <c r="E758" s="801"/>
      <c r="F758" s="54" t="s">
        <v>177</v>
      </c>
      <c r="G758" s="54" t="s">
        <v>165</v>
      </c>
      <c r="H758" s="55" t="s">
        <v>42</v>
      </c>
    </row>
    <row r="759" spans="2:9" x14ac:dyDescent="0.25">
      <c r="B759" s="822"/>
      <c r="C759" s="854"/>
      <c r="D759" s="758" t="s">
        <v>178</v>
      </c>
      <c r="E759" s="759"/>
      <c r="F759" s="27"/>
      <c r="G759" s="58"/>
      <c r="H759" s="29"/>
    </row>
    <row r="760" spans="2:9" x14ac:dyDescent="0.25">
      <c r="B760" s="60"/>
      <c r="C760" s="61"/>
      <c r="D760" s="884" t="s">
        <v>185</v>
      </c>
      <c r="E760" s="885"/>
      <c r="F760" s="27">
        <v>0.1</v>
      </c>
      <c r="G760" s="28">
        <f>H413</f>
        <v>18.077615849828966</v>
      </c>
      <c r="H760" s="29">
        <f>F760*G760</f>
        <v>1.8077615849828967</v>
      </c>
    </row>
    <row r="761" spans="2:9" x14ac:dyDescent="0.25">
      <c r="B761" s="64"/>
      <c r="C761" s="65"/>
      <c r="D761" s="780" t="s">
        <v>179</v>
      </c>
      <c r="E761" s="781"/>
      <c r="F761" s="31"/>
      <c r="G761" s="80"/>
      <c r="H761" s="79"/>
    </row>
    <row r="762" spans="2:9" ht="14.25" customHeight="1" x14ac:dyDescent="0.25">
      <c r="B762" s="64"/>
      <c r="C762" s="65"/>
      <c r="D762" s="868" t="s">
        <v>13</v>
      </c>
      <c r="E762" s="785"/>
      <c r="F762" s="91">
        <v>0.1</v>
      </c>
      <c r="G762" s="92">
        <f>I164</f>
        <v>33.810121642320418</v>
      </c>
      <c r="H762" s="93">
        <f>F762*G762</f>
        <v>3.3810121642320419</v>
      </c>
    </row>
    <row r="763" spans="2:9" ht="14.25" customHeight="1" thickBot="1" x14ac:dyDescent="0.3">
      <c r="B763" s="60"/>
      <c r="C763" s="61"/>
      <c r="D763" s="780" t="s">
        <v>196</v>
      </c>
      <c r="E763" s="781"/>
      <c r="F763" s="96">
        <v>0.1</v>
      </c>
      <c r="G763" s="92">
        <f>H757</f>
        <v>15.006833333333333</v>
      </c>
      <c r="H763" s="93">
        <f>F763*G763</f>
        <v>1.5006833333333334</v>
      </c>
    </row>
    <row r="764" spans="2:9" ht="15.75" thickBot="1" x14ac:dyDescent="0.3">
      <c r="B764" s="725"/>
      <c r="C764" s="726"/>
      <c r="D764" s="754" t="s">
        <v>360</v>
      </c>
      <c r="E764" s="728"/>
      <c r="F764" s="160"/>
      <c r="G764" s="161"/>
      <c r="H764" s="131">
        <f>H760+H762+H763</f>
        <v>6.6894570825482713</v>
      </c>
    </row>
    <row r="765" spans="2:9" ht="15.75" thickBot="1" x14ac:dyDescent="0.3">
      <c r="B765" s="132"/>
      <c r="C765" s="132"/>
      <c r="D765" s="200"/>
      <c r="E765" s="133"/>
      <c r="F765" s="162"/>
      <c r="G765" s="134"/>
      <c r="H765" s="136"/>
    </row>
    <row r="766" spans="2:9" ht="15.75" thickBot="1" x14ac:dyDescent="0.3">
      <c r="B766" s="48" t="s">
        <v>92</v>
      </c>
      <c r="C766" s="729" t="str">
        <f>C747</f>
        <v>STROJNO ORODJE (cena brez operaterja)</v>
      </c>
      <c r="D766" s="730"/>
      <c r="E766" s="730"/>
      <c r="F766" s="730"/>
      <c r="G766" s="730"/>
      <c r="H766" s="731"/>
      <c r="I766" s="105"/>
    </row>
    <row r="767" spans="2:9" ht="23.25" thickBot="1" x14ac:dyDescent="0.3">
      <c r="B767" s="732" t="s">
        <v>37</v>
      </c>
      <c r="C767" s="795"/>
      <c r="D767" s="734" t="s">
        <v>38</v>
      </c>
      <c r="E767" s="802"/>
      <c r="F767" s="146" t="s">
        <v>39</v>
      </c>
      <c r="G767" s="106" t="s">
        <v>41</v>
      </c>
      <c r="H767" s="107" t="s">
        <v>42</v>
      </c>
    </row>
    <row r="768" spans="2:9" ht="27" customHeight="1" x14ac:dyDescent="0.25">
      <c r="B768" s="736" t="s">
        <v>112</v>
      </c>
      <c r="C768" s="757"/>
      <c r="D768" s="738" t="str">
        <f>CENIK_št_1!B127</f>
        <v>Varilni aparat</v>
      </c>
      <c r="E768" s="739"/>
      <c r="F768" s="147">
        <v>1800</v>
      </c>
      <c r="G768" s="148"/>
      <c r="H768" s="149"/>
    </row>
    <row r="769" spans="2:8" x14ac:dyDescent="0.25">
      <c r="B769" s="110"/>
      <c r="C769" s="111"/>
      <c r="D769" s="740" t="s">
        <v>223</v>
      </c>
      <c r="E769" s="779"/>
      <c r="F769" s="150">
        <v>36</v>
      </c>
      <c r="G769" s="151"/>
      <c r="H769" s="152"/>
    </row>
    <row r="770" spans="2:8" x14ac:dyDescent="0.25">
      <c r="B770" s="110"/>
      <c r="C770" s="111"/>
      <c r="D770" s="740" t="s">
        <v>222</v>
      </c>
      <c r="E770" s="779"/>
      <c r="F770" s="150">
        <v>9.8000000000000007</v>
      </c>
      <c r="G770" s="151"/>
      <c r="H770" s="152"/>
    </row>
    <row r="771" spans="2:8" ht="24" customHeight="1" x14ac:dyDescent="0.25">
      <c r="B771" s="803"/>
      <c r="C771" s="804"/>
      <c r="D771" s="857" t="s">
        <v>226</v>
      </c>
      <c r="E771" s="813"/>
      <c r="F771" s="154"/>
      <c r="G771" s="112">
        <v>3.5</v>
      </c>
      <c r="H771" s="113">
        <f>F770*G771</f>
        <v>34.300000000000004</v>
      </c>
    </row>
    <row r="772" spans="2:8" ht="15.75" thickBot="1" x14ac:dyDescent="0.3">
      <c r="B772" s="803"/>
      <c r="C772" s="804"/>
      <c r="D772" s="810" t="s">
        <v>174</v>
      </c>
      <c r="E772" s="843"/>
      <c r="F772" s="155"/>
      <c r="G772" s="120"/>
      <c r="H772" s="119">
        <f>F768/F769</f>
        <v>50</v>
      </c>
    </row>
    <row r="773" spans="2:8" ht="15.75" thickTop="1" x14ac:dyDescent="0.25">
      <c r="B773" s="803"/>
      <c r="C773" s="804"/>
      <c r="D773" s="812" t="s">
        <v>167</v>
      </c>
      <c r="E773" s="811"/>
      <c r="F773" s="154"/>
      <c r="G773" s="120"/>
      <c r="H773" s="156">
        <f>SUM(H771:H772)</f>
        <v>84.300000000000011</v>
      </c>
    </row>
    <row r="774" spans="2:8" ht="15.75" thickBot="1" x14ac:dyDescent="0.3">
      <c r="B774" s="775"/>
      <c r="C774" s="776"/>
      <c r="D774" s="777" t="s">
        <v>221</v>
      </c>
      <c r="E774" s="778"/>
      <c r="F774" s="157"/>
      <c r="G774" s="159"/>
      <c r="H774" s="115">
        <f>(H773/F770)*0.05</f>
        <v>0.43010204081632653</v>
      </c>
    </row>
    <row r="775" spans="2:8" ht="15.75" thickBot="1" x14ac:dyDescent="0.3">
      <c r="B775" s="725"/>
      <c r="C775" s="726"/>
      <c r="D775" s="727" t="s">
        <v>41</v>
      </c>
      <c r="E775" s="728"/>
      <c r="F775" s="160"/>
      <c r="G775" s="161"/>
      <c r="H775" s="131">
        <f>(H773/F770)+H774</f>
        <v>9.0321428571428566</v>
      </c>
    </row>
    <row r="776" spans="2:8" ht="15.75" thickBot="1" x14ac:dyDescent="0.3">
      <c r="B776" s="132"/>
      <c r="C776" s="132"/>
      <c r="D776" s="133"/>
      <c r="E776" s="133"/>
      <c r="F776" s="162"/>
      <c r="G776" s="134"/>
      <c r="H776" s="136"/>
    </row>
    <row r="777" spans="2:8" ht="15.75" thickBot="1" x14ac:dyDescent="0.3">
      <c r="B777" s="48" t="s">
        <v>92</v>
      </c>
      <c r="C777" s="663" t="str">
        <f>CENIK_št_1!B107</f>
        <v>STROJNO ORODJE (cena brez operaterja)</v>
      </c>
      <c r="D777" s="664"/>
      <c r="E777" s="664"/>
      <c r="F777" s="664"/>
      <c r="G777" s="664"/>
      <c r="H777" s="665"/>
    </row>
    <row r="778" spans="2:8" ht="25.5" customHeight="1" thickBot="1" x14ac:dyDescent="0.3">
      <c r="B778" s="755" t="s">
        <v>37</v>
      </c>
      <c r="C778" s="756"/>
      <c r="D778" s="755" t="str">
        <f>D767</f>
        <v>OPIS</v>
      </c>
      <c r="E778" s="756"/>
      <c r="F778" s="205" t="s">
        <v>39</v>
      </c>
      <c r="G778" s="54" t="s">
        <v>41</v>
      </c>
      <c r="H778" s="55" t="s">
        <v>42</v>
      </c>
    </row>
    <row r="779" spans="2:8" ht="28.5" customHeight="1" x14ac:dyDescent="0.25">
      <c r="B779" s="736" t="s">
        <v>488</v>
      </c>
      <c r="C779" s="757"/>
      <c r="D779" s="738" t="str">
        <f>CENIK_št_1!B128</f>
        <v>Snemalna naprava za snemanje cevnih sistemov</v>
      </c>
      <c r="E779" s="739"/>
      <c r="F779" s="206">
        <v>18500</v>
      </c>
      <c r="G779" s="207"/>
      <c r="H779" s="208"/>
    </row>
    <row r="780" spans="2:8" x14ac:dyDescent="0.25">
      <c r="B780" s="60"/>
      <c r="C780" s="61"/>
      <c r="D780" s="793" t="s">
        <v>223</v>
      </c>
      <c r="E780" s="794"/>
      <c r="F780" s="209">
        <f>12*7</f>
        <v>84</v>
      </c>
      <c r="G780" s="210"/>
      <c r="H780" s="211"/>
    </row>
    <row r="781" spans="2:8" x14ac:dyDescent="0.25">
      <c r="B781" s="60"/>
      <c r="C781" s="61"/>
      <c r="D781" s="793" t="s">
        <v>222</v>
      </c>
      <c r="E781" s="794"/>
      <c r="F781" s="209">
        <v>10</v>
      </c>
      <c r="G781" s="210"/>
      <c r="H781" s="211"/>
    </row>
    <row r="782" spans="2:8" x14ac:dyDescent="0.25">
      <c r="B782" s="760"/>
      <c r="C782" s="761"/>
      <c r="D782" s="780" t="s">
        <v>226</v>
      </c>
      <c r="E782" s="781"/>
      <c r="F782" s="213"/>
      <c r="G782" s="28">
        <v>3.5</v>
      </c>
      <c r="H782" s="29">
        <f>F781*G782</f>
        <v>35</v>
      </c>
    </row>
    <row r="783" spans="2:8" ht="15.75" thickBot="1" x14ac:dyDescent="0.3">
      <c r="B783" s="760"/>
      <c r="C783" s="761"/>
      <c r="D783" s="758" t="s">
        <v>174</v>
      </c>
      <c r="E783" s="759"/>
      <c r="F783" s="214"/>
      <c r="G783" s="27"/>
      <c r="H783" s="30">
        <f>F779/F780</f>
        <v>220.23809523809524</v>
      </c>
    </row>
    <row r="784" spans="2:8" ht="15.75" thickTop="1" x14ac:dyDescent="0.25">
      <c r="B784" s="760"/>
      <c r="C784" s="761"/>
      <c r="D784" s="762" t="s">
        <v>167</v>
      </c>
      <c r="E784" s="763"/>
      <c r="F784" s="213"/>
      <c r="G784" s="27"/>
      <c r="H784" s="215">
        <f>SUM(H782:H783)</f>
        <v>255.23809523809524</v>
      </c>
    </row>
    <row r="785" spans="2:10" ht="15.75" thickBot="1" x14ac:dyDescent="0.3">
      <c r="B785" s="764"/>
      <c r="C785" s="765"/>
      <c r="D785" s="766" t="s">
        <v>221</v>
      </c>
      <c r="E785" s="767"/>
      <c r="F785" s="216"/>
      <c r="G785" s="217"/>
      <c r="H785" s="33">
        <f>(H784/F781)*0.05</f>
        <v>1.2761904761904763</v>
      </c>
    </row>
    <row r="786" spans="2:10" ht="15.75" thickBot="1" x14ac:dyDescent="0.3">
      <c r="B786" s="772"/>
      <c r="C786" s="773"/>
      <c r="D786" s="754" t="s">
        <v>41</v>
      </c>
      <c r="E786" s="774"/>
      <c r="F786" s="218"/>
      <c r="G786" s="219"/>
      <c r="H786" s="56">
        <f>(H784/F781)+H785</f>
        <v>26.8</v>
      </c>
    </row>
    <row r="787" spans="2:10" ht="15.75" thickBot="1" x14ac:dyDescent="0.3">
      <c r="B787" s="132"/>
      <c r="C787" s="132"/>
      <c r="D787" s="133"/>
      <c r="E787" s="133"/>
      <c r="F787" s="162"/>
      <c r="G787" s="134"/>
      <c r="H787" s="136"/>
    </row>
    <row r="788" spans="2:10" ht="15.75" thickBot="1" x14ac:dyDescent="0.3">
      <c r="B788" s="48" t="s">
        <v>92</v>
      </c>
      <c r="C788" s="663" t="s">
        <v>51</v>
      </c>
      <c r="D788" s="664"/>
      <c r="E788" s="664"/>
      <c r="F788" s="664"/>
      <c r="G788" s="664"/>
      <c r="H788" s="665"/>
    </row>
    <row r="789" spans="2:10" ht="23.25" thickBot="1" x14ac:dyDescent="0.3">
      <c r="B789" s="755" t="s">
        <v>37</v>
      </c>
      <c r="C789" s="756"/>
      <c r="D789" s="800" t="s">
        <v>38</v>
      </c>
      <c r="E789" s="801"/>
      <c r="F789" s="205" t="s">
        <v>39</v>
      </c>
      <c r="G789" s="54" t="s">
        <v>41</v>
      </c>
      <c r="H789" s="55" t="s">
        <v>42</v>
      </c>
    </row>
    <row r="790" spans="2:10" ht="27" customHeight="1" x14ac:dyDescent="0.25">
      <c r="B790" s="736" t="s">
        <v>499</v>
      </c>
      <c r="C790" s="757"/>
      <c r="D790" s="738" t="str">
        <f>CENIK_št_1!B129</f>
        <v>Električni stroj za čiščenje odtočnih cevi Ridgid</v>
      </c>
      <c r="E790" s="739"/>
      <c r="F790" s="206">
        <v>1600</v>
      </c>
      <c r="G790" s="207"/>
      <c r="H790" s="208"/>
    </row>
    <row r="791" spans="2:10" x14ac:dyDescent="0.25">
      <c r="B791" s="60"/>
      <c r="C791" s="61"/>
      <c r="D791" s="793" t="s">
        <v>223</v>
      </c>
      <c r="E791" s="794"/>
      <c r="F791" s="209">
        <v>12</v>
      </c>
      <c r="G791" s="210"/>
      <c r="H791" s="211"/>
    </row>
    <row r="792" spans="2:10" x14ac:dyDescent="0.25">
      <c r="B792" s="60"/>
      <c r="C792" s="61"/>
      <c r="D792" s="793" t="s">
        <v>222</v>
      </c>
      <c r="E792" s="794"/>
      <c r="F792" s="209">
        <v>10</v>
      </c>
      <c r="G792" s="210"/>
      <c r="H792" s="211"/>
    </row>
    <row r="793" spans="2:10" x14ac:dyDescent="0.25">
      <c r="B793" s="760"/>
      <c r="C793" s="761"/>
      <c r="D793" s="780" t="s">
        <v>226</v>
      </c>
      <c r="E793" s="781"/>
      <c r="F793" s="213"/>
      <c r="G793" s="28">
        <v>3.5</v>
      </c>
      <c r="H793" s="29">
        <f>F792*G793</f>
        <v>35</v>
      </c>
    </row>
    <row r="794" spans="2:10" ht="15.75" thickBot="1" x14ac:dyDescent="0.3">
      <c r="B794" s="760"/>
      <c r="C794" s="761"/>
      <c r="D794" s="758" t="s">
        <v>174</v>
      </c>
      <c r="E794" s="759"/>
      <c r="F794" s="214"/>
      <c r="G794" s="27"/>
      <c r="H794" s="30">
        <f>F790/F791</f>
        <v>133.33333333333334</v>
      </c>
    </row>
    <row r="795" spans="2:10" ht="15.75" thickTop="1" x14ac:dyDescent="0.25">
      <c r="B795" s="760"/>
      <c r="C795" s="761"/>
      <c r="D795" s="762" t="s">
        <v>167</v>
      </c>
      <c r="E795" s="763"/>
      <c r="F795" s="213"/>
      <c r="G795" s="27"/>
      <c r="H795" s="215">
        <f>SUM(H793:H794)</f>
        <v>168.33333333333334</v>
      </c>
    </row>
    <row r="796" spans="2:10" ht="15.75" thickBot="1" x14ac:dyDescent="0.3">
      <c r="B796" s="764"/>
      <c r="C796" s="765"/>
      <c r="D796" s="766" t="s">
        <v>221</v>
      </c>
      <c r="E796" s="767"/>
      <c r="F796" s="216"/>
      <c r="G796" s="217"/>
      <c r="H796" s="33">
        <f>(H795/F792)*0.05</f>
        <v>0.84166666666666679</v>
      </c>
    </row>
    <row r="797" spans="2:10" ht="15.75" thickBot="1" x14ac:dyDescent="0.3">
      <c r="B797" s="772"/>
      <c r="C797" s="773"/>
      <c r="D797" s="754" t="s">
        <v>41</v>
      </c>
      <c r="E797" s="774"/>
      <c r="F797" s="218"/>
      <c r="G797" s="219"/>
      <c r="H797" s="56">
        <f>(H795/F792)+H796</f>
        <v>17.675000000000004</v>
      </c>
    </row>
    <row r="798" spans="2:10" x14ac:dyDescent="0.25">
      <c r="B798" s="132"/>
      <c r="C798" s="132"/>
      <c r="D798" s="133"/>
      <c r="E798" s="133"/>
      <c r="F798" s="162"/>
      <c r="G798" s="134"/>
      <c r="H798" s="136"/>
    </row>
    <row r="799" spans="2:10" ht="15.75" thickBot="1" x14ac:dyDescent="0.3"/>
    <row r="800" spans="2:10" ht="15.75" thickBot="1" x14ac:dyDescent="0.3">
      <c r="B800" s="663" t="s">
        <v>137</v>
      </c>
      <c r="C800" s="665"/>
      <c r="D800" s="667" t="str">
        <f>CENIK_št_1!B134</f>
        <v>DELA CESTNEGA GOSPODARSTVA</v>
      </c>
      <c r="E800" s="668"/>
      <c r="F800" s="668"/>
      <c r="G800" s="668"/>
      <c r="H800" s="668"/>
      <c r="I800" s="668"/>
      <c r="J800" s="669"/>
    </row>
    <row r="801" spans="1:11" ht="23.25" customHeight="1" thickBot="1" x14ac:dyDescent="0.3">
      <c r="B801" s="755" t="s">
        <v>37</v>
      </c>
      <c r="C801" s="786"/>
      <c r="D801" s="800" t="s">
        <v>38</v>
      </c>
      <c r="E801" s="801"/>
      <c r="F801" s="54" t="s">
        <v>177</v>
      </c>
      <c r="G801" s="54" t="s">
        <v>165</v>
      </c>
      <c r="H801" s="54" t="s">
        <v>183</v>
      </c>
      <c r="I801" s="67" t="s">
        <v>197</v>
      </c>
      <c r="J801" s="55" t="s">
        <v>42</v>
      </c>
    </row>
    <row r="802" spans="1:11" ht="24" customHeight="1" x14ac:dyDescent="0.25">
      <c r="B802" s="789" t="s">
        <v>139</v>
      </c>
      <c r="C802" s="790"/>
      <c r="D802" s="791" t="str">
        <f>CENIK_št_1!B135</f>
        <v>Priprava izrisa cestne zapore po dovoljenju.</v>
      </c>
      <c r="E802" s="792"/>
      <c r="F802" s="82"/>
      <c r="G802" s="82"/>
      <c r="H802" s="82"/>
      <c r="I802" s="82"/>
      <c r="J802" s="83"/>
    </row>
    <row r="803" spans="1:11" x14ac:dyDescent="0.25">
      <c r="B803" s="822"/>
      <c r="C803" s="854"/>
      <c r="D803" s="758" t="s">
        <v>178</v>
      </c>
      <c r="E803" s="759"/>
      <c r="F803" s="27"/>
      <c r="G803" s="58"/>
      <c r="H803" s="27"/>
      <c r="I803" s="27"/>
      <c r="J803" s="29"/>
    </row>
    <row r="804" spans="1:11" ht="26.25" customHeight="1" x14ac:dyDescent="0.25">
      <c r="B804" s="60"/>
      <c r="C804" s="61"/>
      <c r="D804" s="866" t="str">
        <f>CENIK_št_1!B34</f>
        <v>Strokovna dela (nadzor, vodenje, pregledi objektov, izdelava poročil, izvedbeni načrti)</v>
      </c>
      <c r="E804" s="867"/>
      <c r="F804" s="27">
        <v>2</v>
      </c>
      <c r="G804" s="28">
        <f>CENIK_št_1!K34</f>
        <v>29.565151586588335</v>
      </c>
      <c r="H804" s="27"/>
      <c r="I804" s="27"/>
      <c r="J804" s="29">
        <f>F804*G804</f>
        <v>59.130303173176671</v>
      </c>
    </row>
    <row r="805" spans="1:11" ht="15" customHeight="1" x14ac:dyDescent="0.25">
      <c r="B805" s="64"/>
      <c r="C805" s="65"/>
      <c r="D805" s="780" t="s">
        <v>208</v>
      </c>
      <c r="E805" s="781"/>
      <c r="F805" s="31"/>
      <c r="G805" s="80"/>
      <c r="H805" s="31"/>
      <c r="I805" s="31"/>
      <c r="J805" s="79"/>
    </row>
    <row r="806" spans="1:11" ht="15" customHeight="1" x14ac:dyDescent="0.25">
      <c r="B806" s="64"/>
      <c r="C806" s="65"/>
      <c r="D806" s="868" t="s">
        <v>209</v>
      </c>
      <c r="E806" s="785"/>
      <c r="F806" s="27">
        <v>2</v>
      </c>
      <c r="G806" s="92">
        <v>6</v>
      </c>
      <c r="H806" s="90"/>
      <c r="I806" s="90"/>
      <c r="J806" s="93">
        <f>F806*G806</f>
        <v>12</v>
      </c>
    </row>
    <row r="807" spans="1:11" x14ac:dyDescent="0.25">
      <c r="A807"/>
      <c r="B807" s="822"/>
      <c r="C807" s="854"/>
      <c r="D807" s="758" t="s">
        <v>180</v>
      </c>
      <c r="E807" s="759"/>
      <c r="F807" s="27"/>
      <c r="G807" s="58"/>
      <c r="H807" s="27"/>
      <c r="I807" s="27"/>
      <c r="J807" s="29"/>
      <c r="K807"/>
    </row>
    <row r="808" spans="1:11" customFormat="1" ht="18" customHeight="1" x14ac:dyDescent="0.25">
      <c r="B808" s="60"/>
      <c r="C808" s="61"/>
      <c r="D808" s="860" t="s">
        <v>237</v>
      </c>
      <c r="E808" s="861"/>
      <c r="F808" s="27"/>
      <c r="G808" s="28"/>
      <c r="H808" s="27">
        <v>0.01</v>
      </c>
      <c r="I808" s="27">
        <v>1</v>
      </c>
      <c r="J808" s="29">
        <f>H808*I808</f>
        <v>0.01</v>
      </c>
    </row>
    <row r="809" spans="1:11" customFormat="1" ht="15" customHeight="1" thickBot="1" x14ac:dyDescent="0.3">
      <c r="B809" s="64"/>
      <c r="C809" s="65"/>
      <c r="D809" s="780" t="s">
        <v>363</v>
      </c>
      <c r="E809" s="781"/>
      <c r="F809" s="31"/>
      <c r="G809" s="80"/>
      <c r="H809" s="27">
        <v>1</v>
      </c>
      <c r="I809" s="27">
        <v>1</v>
      </c>
      <c r="J809" s="29">
        <f>H809*I809</f>
        <v>1</v>
      </c>
    </row>
    <row r="810" spans="1:11" customFormat="1" ht="15" customHeight="1" thickBot="1" x14ac:dyDescent="0.3">
      <c r="A810" s="104"/>
      <c r="B810" s="772"/>
      <c r="C810" s="773"/>
      <c r="D810" s="754" t="s">
        <v>210</v>
      </c>
      <c r="E810" s="774"/>
      <c r="F810" s="26"/>
      <c r="G810" s="66"/>
      <c r="H810" s="26"/>
      <c r="I810" s="26">
        <v>1</v>
      </c>
      <c r="J810" s="56">
        <f>SUM(J804:J809)</f>
        <v>72.140303173176676</v>
      </c>
      <c r="K810" s="104"/>
    </row>
    <row r="811" spans="1:11" ht="15.75" thickBot="1" x14ac:dyDescent="0.3"/>
    <row r="812" spans="1:11" ht="15.75" thickBot="1" x14ac:dyDescent="0.3">
      <c r="B812" s="663" t="s">
        <v>137</v>
      </c>
      <c r="C812" s="665"/>
      <c r="D812" s="667" t="str">
        <f>CENIK_št_1!B134</f>
        <v>DELA CESTNEGA GOSPODARSTVA</v>
      </c>
      <c r="E812" s="668"/>
      <c r="F812" s="668"/>
      <c r="G812" s="668"/>
      <c r="H812" s="668"/>
      <c r="I812" s="668"/>
      <c r="J812" s="669"/>
    </row>
    <row r="813" spans="1:11" ht="23.25" customHeight="1" thickBot="1" x14ac:dyDescent="0.3">
      <c r="B813" s="755" t="s">
        <v>37</v>
      </c>
      <c r="C813" s="786"/>
      <c r="D813" s="800" t="s">
        <v>38</v>
      </c>
      <c r="E813" s="801"/>
      <c r="F813" s="54" t="s">
        <v>177</v>
      </c>
      <c r="G813" s="54" t="s">
        <v>165</v>
      </c>
      <c r="H813" s="54" t="s">
        <v>183</v>
      </c>
      <c r="I813" s="67" t="s">
        <v>197</v>
      </c>
      <c r="J813" s="55" t="s">
        <v>42</v>
      </c>
    </row>
    <row r="814" spans="1:11" ht="24.75" customHeight="1" x14ac:dyDescent="0.25">
      <c r="B814" s="789" t="s">
        <v>140</v>
      </c>
      <c r="C814" s="790"/>
      <c r="D814" s="791" t="str">
        <f>CENIK_št_1!B136</f>
        <v>Postavitev cestne zapore po dovoljenju.</v>
      </c>
      <c r="E814" s="792"/>
      <c r="F814" s="82"/>
      <c r="G814" s="82"/>
      <c r="H814" s="82"/>
      <c r="I814" s="82"/>
      <c r="J814" s="83"/>
    </row>
    <row r="815" spans="1:11" ht="25.5" customHeight="1" x14ac:dyDescent="0.25">
      <c r="B815" s="822"/>
      <c r="C815" s="854"/>
      <c r="D815" s="758" t="s">
        <v>178</v>
      </c>
      <c r="E815" s="759"/>
      <c r="F815" s="27"/>
      <c r="G815" s="58"/>
      <c r="H815" s="27"/>
      <c r="I815" s="27"/>
      <c r="J815" s="29"/>
    </row>
    <row r="816" spans="1:11" ht="25.5" customHeight="1" x14ac:dyDescent="0.25">
      <c r="B816" s="60"/>
      <c r="C816" s="61"/>
      <c r="D816" s="858" t="str">
        <f>CENIK_št_1!B33</f>
        <v>Delovodja, Skupinovodja, Preglednik, Dispečer, Voznik, Strojnik</v>
      </c>
      <c r="E816" s="859"/>
      <c r="F816" s="27">
        <v>1.5</v>
      </c>
      <c r="G816" s="28">
        <f>CENIK_št_1!K33</f>
        <v>21.016080827612811</v>
      </c>
      <c r="H816" s="27"/>
      <c r="I816" s="27"/>
      <c r="J816" s="29">
        <f>F816*G816</f>
        <v>31.524121241419216</v>
      </c>
    </row>
    <row r="817" spans="2:10" x14ac:dyDescent="0.25">
      <c r="B817" s="60"/>
      <c r="C817" s="61"/>
      <c r="D817" s="858" t="str">
        <f>CENIK_št_1!B32</f>
        <v xml:space="preserve">Komunalni delavec </v>
      </c>
      <c r="E817" s="859"/>
      <c r="F817" s="27">
        <v>3</v>
      </c>
      <c r="G817" s="28">
        <f>CENIK_št_1!K32</f>
        <v>20.747507542833958</v>
      </c>
      <c r="H817" s="27"/>
      <c r="I817" s="27"/>
      <c r="J817" s="79">
        <f>F817*G817</f>
        <v>62.242522628501874</v>
      </c>
    </row>
    <row r="818" spans="2:10" ht="15" customHeight="1" x14ac:dyDescent="0.25">
      <c r="B818" s="64"/>
      <c r="C818" s="65"/>
      <c r="D818" s="780" t="s">
        <v>179</v>
      </c>
      <c r="E818" s="781"/>
      <c r="F818" s="31"/>
      <c r="G818" s="80"/>
      <c r="H818" s="31"/>
      <c r="I818" s="31"/>
      <c r="J818" s="79"/>
    </row>
    <row r="819" spans="2:10" ht="18.75" customHeight="1" thickBot="1" x14ac:dyDescent="0.3">
      <c r="B819" s="64"/>
      <c r="C819" s="65"/>
      <c r="D819" s="784" t="str">
        <f>CENIK_št_1!B54</f>
        <v>Tovorno vozilo do 3,5 t sdm</v>
      </c>
      <c r="E819" s="785"/>
      <c r="F819" s="91">
        <v>1.5</v>
      </c>
      <c r="G819" s="92">
        <f>CENIK_št_1!K54</f>
        <v>33.810121642320418</v>
      </c>
      <c r="H819" s="90"/>
      <c r="I819" s="90"/>
      <c r="J819" s="93">
        <f>F819*G819</f>
        <v>50.71518246348063</v>
      </c>
    </row>
    <row r="820" spans="2:10" ht="15" customHeight="1" thickBot="1" x14ac:dyDescent="0.3">
      <c r="B820" s="772"/>
      <c r="C820" s="773"/>
      <c r="D820" s="754" t="s">
        <v>210</v>
      </c>
      <c r="E820" s="774"/>
      <c r="F820" s="26"/>
      <c r="G820" s="66"/>
      <c r="H820" s="26"/>
      <c r="I820" s="26">
        <v>1</v>
      </c>
      <c r="J820" s="56">
        <f>SUM(J816:J819)</f>
        <v>144.48182633340173</v>
      </c>
    </row>
    <row r="821" spans="2:10" ht="15.75" thickBot="1" x14ac:dyDescent="0.3"/>
    <row r="822" spans="2:10" ht="15.75" thickBot="1" x14ac:dyDescent="0.3">
      <c r="B822" s="663" t="s">
        <v>137</v>
      </c>
      <c r="C822" s="665"/>
      <c r="D822" s="667" t="str">
        <f>D812</f>
        <v>DELA CESTNEGA GOSPODARSTVA</v>
      </c>
      <c r="E822" s="668"/>
      <c r="F822" s="668"/>
      <c r="G822" s="668"/>
      <c r="H822" s="668"/>
      <c r="I822" s="668"/>
      <c r="J822" s="669"/>
    </row>
    <row r="823" spans="2:10" ht="23.25" customHeight="1" thickBot="1" x14ac:dyDescent="0.3">
      <c r="B823" s="755" t="s">
        <v>37</v>
      </c>
      <c r="C823" s="786"/>
      <c r="D823" s="800" t="s">
        <v>38</v>
      </c>
      <c r="E823" s="801"/>
      <c r="F823" s="54" t="s">
        <v>177</v>
      </c>
      <c r="G823" s="54" t="s">
        <v>165</v>
      </c>
      <c r="H823" s="54" t="s">
        <v>183</v>
      </c>
      <c r="I823" s="67" t="s">
        <v>197</v>
      </c>
      <c r="J823" s="55" t="s">
        <v>42</v>
      </c>
    </row>
    <row r="824" spans="2:10" ht="23.25" customHeight="1" x14ac:dyDescent="0.25">
      <c r="B824" s="789" t="s">
        <v>141</v>
      </c>
      <c r="C824" s="790"/>
      <c r="D824" s="791" t="str">
        <f>CENIK_št_1!B137</f>
        <v>Postavitev interventne cestne zapore.</v>
      </c>
      <c r="E824" s="792"/>
      <c r="F824" s="82"/>
      <c r="G824" s="82"/>
      <c r="H824" s="82"/>
      <c r="I824" s="82"/>
      <c r="J824" s="83"/>
    </row>
    <row r="825" spans="2:10" ht="25.5" customHeight="1" x14ac:dyDescent="0.25">
      <c r="B825" s="822"/>
      <c r="C825" s="854"/>
      <c r="D825" s="758" t="s">
        <v>178</v>
      </c>
      <c r="E825" s="759"/>
      <c r="F825" s="27"/>
      <c r="G825" s="58"/>
      <c r="H825" s="27"/>
      <c r="I825" s="27"/>
      <c r="J825" s="29"/>
    </row>
    <row r="826" spans="2:10" x14ac:dyDescent="0.25">
      <c r="B826" s="60"/>
      <c r="C826" s="61"/>
      <c r="D826" s="858" t="str">
        <f>D816</f>
        <v>Delovodja, Skupinovodja, Preglednik, Dispečer, Voznik, Strojnik</v>
      </c>
      <c r="E826" s="859"/>
      <c r="F826" s="27">
        <v>1.5</v>
      </c>
      <c r="G826" s="28">
        <f>G816</f>
        <v>21.016080827612811</v>
      </c>
      <c r="H826" s="27"/>
      <c r="I826" s="27"/>
      <c r="J826" s="29">
        <f>F826*G826</f>
        <v>31.524121241419216</v>
      </c>
    </row>
    <row r="827" spans="2:10" ht="23.25" customHeight="1" x14ac:dyDescent="0.25">
      <c r="B827" s="60"/>
      <c r="C827" s="61"/>
      <c r="D827" s="858" t="str">
        <f>D817</f>
        <v xml:space="preserve">Komunalni delavec </v>
      </c>
      <c r="E827" s="859"/>
      <c r="F827" s="27">
        <v>3</v>
      </c>
      <c r="G827" s="28">
        <f>G817</f>
        <v>20.747507542833958</v>
      </c>
      <c r="H827" s="27"/>
      <c r="I827" s="27"/>
      <c r="J827" s="79">
        <f>F827*G827</f>
        <v>62.242522628501874</v>
      </c>
    </row>
    <row r="828" spans="2:10" ht="15" customHeight="1" x14ac:dyDescent="0.25">
      <c r="B828" s="64"/>
      <c r="C828" s="65"/>
      <c r="D828" s="780" t="s">
        <v>179</v>
      </c>
      <c r="E828" s="781"/>
      <c r="F828" s="31"/>
      <c r="G828" s="80"/>
      <c r="H828" s="31"/>
      <c r="I828" s="31"/>
      <c r="J828" s="79"/>
    </row>
    <row r="829" spans="2:10" ht="15" customHeight="1" x14ac:dyDescent="0.25">
      <c r="B829" s="64"/>
      <c r="C829" s="65"/>
      <c r="D829" s="784" t="str">
        <f>D819</f>
        <v>Tovorno vozilo do 3,5 t sdm</v>
      </c>
      <c r="E829" s="785"/>
      <c r="F829" s="91">
        <v>1.5</v>
      </c>
      <c r="G829" s="92">
        <f>G819</f>
        <v>33.810121642320418</v>
      </c>
      <c r="H829" s="90"/>
      <c r="I829" s="90"/>
      <c r="J829" s="93">
        <f>F829*G829</f>
        <v>50.71518246348063</v>
      </c>
    </row>
    <row r="830" spans="2:10" ht="27.75" customHeight="1" thickBot="1" x14ac:dyDescent="0.3">
      <c r="B830" s="760"/>
      <c r="C830" s="761"/>
      <c r="D830" s="855" t="s">
        <v>238</v>
      </c>
      <c r="E830" s="856"/>
      <c r="F830" s="187">
        <v>0.35</v>
      </c>
      <c r="G830" s="102"/>
      <c r="H830" s="90"/>
      <c r="I830" s="90"/>
      <c r="J830" s="103">
        <f>(J826+J827)*0.35</f>
        <v>32.818325354472385</v>
      </c>
    </row>
    <row r="831" spans="2:10" ht="29.25" customHeight="1" thickBot="1" x14ac:dyDescent="0.3">
      <c r="B831" s="772"/>
      <c r="C831" s="773"/>
      <c r="D831" s="754" t="s">
        <v>210</v>
      </c>
      <c r="E831" s="774"/>
      <c r="F831" s="26"/>
      <c r="G831" s="66"/>
      <c r="H831" s="26"/>
      <c r="I831" s="26">
        <v>1</v>
      </c>
      <c r="J831" s="56">
        <f>SUM(J826:J830)</f>
        <v>177.30015168787412</v>
      </c>
    </row>
    <row r="832" spans="2:10" ht="15.75" thickBot="1" x14ac:dyDescent="0.3"/>
    <row r="833" spans="2:10" ht="15.75" thickBot="1" x14ac:dyDescent="0.3">
      <c r="B833" s="663" t="s">
        <v>137</v>
      </c>
      <c r="C833" s="665"/>
      <c r="D833" s="667" t="str">
        <f>D822</f>
        <v>DELA CESTNEGA GOSPODARSTVA</v>
      </c>
      <c r="E833" s="668"/>
      <c r="F833" s="668"/>
      <c r="G833" s="668"/>
      <c r="H833" s="668"/>
      <c r="I833" s="668"/>
      <c r="J833" s="669"/>
    </row>
    <row r="834" spans="2:10" ht="23.25" customHeight="1" thickBot="1" x14ac:dyDescent="0.3">
      <c r="B834" s="755" t="s">
        <v>37</v>
      </c>
      <c r="C834" s="786"/>
      <c r="D834" s="800" t="s">
        <v>38</v>
      </c>
      <c r="E834" s="801"/>
      <c r="F834" s="54" t="s">
        <v>177</v>
      </c>
      <c r="G834" s="54" t="s">
        <v>165</v>
      </c>
      <c r="H834" s="54" t="s">
        <v>183</v>
      </c>
      <c r="I834" s="67" t="s">
        <v>197</v>
      </c>
      <c r="J834" s="55" t="s">
        <v>42</v>
      </c>
    </row>
    <row r="835" spans="2:10" ht="27" customHeight="1" x14ac:dyDescent="0.25">
      <c r="B835" s="789" t="s">
        <v>142</v>
      </c>
      <c r="C835" s="790"/>
      <c r="D835" s="791" t="str">
        <f>CENIK_št_1!B138</f>
        <v>Postavitev cestno prometnega znaka (zamenjava droga + pz, brez materiala).</v>
      </c>
      <c r="E835" s="792"/>
      <c r="F835" s="82"/>
      <c r="G835" s="82"/>
      <c r="H835" s="82"/>
      <c r="I835" s="82"/>
      <c r="J835" s="83"/>
    </row>
    <row r="836" spans="2:10" ht="27" customHeight="1" x14ac:dyDescent="0.25">
      <c r="B836" s="822"/>
      <c r="C836" s="854"/>
      <c r="D836" s="758" t="s">
        <v>178</v>
      </c>
      <c r="E836" s="759"/>
      <c r="F836" s="27"/>
      <c r="G836" s="58"/>
      <c r="H836" s="27"/>
      <c r="I836" s="27"/>
      <c r="J836" s="29"/>
    </row>
    <row r="837" spans="2:10" ht="24.75" customHeight="1" x14ac:dyDescent="0.25">
      <c r="B837" s="60"/>
      <c r="C837" s="61"/>
      <c r="D837" s="858" t="str">
        <f>CENIK_št_1!B33</f>
        <v>Delovodja, Skupinovodja, Preglednik, Dispečer, Voznik, Strojnik</v>
      </c>
      <c r="E837" s="859"/>
      <c r="F837" s="27">
        <v>1</v>
      </c>
      <c r="G837" s="28">
        <f>CENIK_št_1!K33</f>
        <v>21.016080827612811</v>
      </c>
      <c r="H837" s="27"/>
      <c r="I837" s="27"/>
      <c r="J837" s="29">
        <f>F837*G837</f>
        <v>21.016080827612811</v>
      </c>
    </row>
    <row r="838" spans="2:10" x14ac:dyDescent="0.25">
      <c r="B838" s="60"/>
      <c r="C838" s="61"/>
      <c r="D838" s="858" t="str">
        <f>CENIK_št_1!B32</f>
        <v xml:space="preserve">Komunalni delavec </v>
      </c>
      <c r="E838" s="859"/>
      <c r="F838" s="27">
        <v>2</v>
      </c>
      <c r="G838" s="28">
        <f>G827</f>
        <v>20.747507542833958</v>
      </c>
      <c r="H838" s="27"/>
      <c r="I838" s="27"/>
      <c r="J838" s="79">
        <f>F838*G838</f>
        <v>41.495015085667916</v>
      </c>
    </row>
    <row r="839" spans="2:10" ht="15" customHeight="1" x14ac:dyDescent="0.25">
      <c r="B839" s="64"/>
      <c r="C839" s="65"/>
      <c r="D839" s="780" t="s">
        <v>179</v>
      </c>
      <c r="E839" s="781"/>
      <c r="F839" s="31"/>
      <c r="G839" s="80"/>
      <c r="H839" s="31"/>
      <c r="I839" s="31"/>
      <c r="J839" s="79"/>
    </row>
    <row r="840" spans="2:10" ht="15.75" customHeight="1" thickBot="1" x14ac:dyDescent="0.3">
      <c r="B840" s="64"/>
      <c r="C840" s="65"/>
      <c r="D840" s="784" t="str">
        <f>D829</f>
        <v>Tovorno vozilo do 3,5 t sdm</v>
      </c>
      <c r="E840" s="785"/>
      <c r="F840" s="91">
        <v>1</v>
      </c>
      <c r="G840" s="92">
        <f>G829</f>
        <v>33.810121642320418</v>
      </c>
      <c r="H840" s="90"/>
      <c r="I840" s="90"/>
      <c r="J840" s="93">
        <f>F840*G840</f>
        <v>33.810121642320418</v>
      </c>
    </row>
    <row r="841" spans="2:10" ht="15.75" thickBot="1" x14ac:dyDescent="0.3">
      <c r="B841" s="772"/>
      <c r="C841" s="773"/>
      <c r="D841" s="754" t="s">
        <v>210</v>
      </c>
      <c r="E841" s="774"/>
      <c r="F841" s="26"/>
      <c r="G841" s="66"/>
      <c r="H841" s="26"/>
      <c r="I841" s="26">
        <v>1</v>
      </c>
      <c r="J841" s="56">
        <f>SUM(J837:J840)</f>
        <v>96.321217555601152</v>
      </c>
    </row>
    <row r="842" spans="2:10" ht="15.75" thickBot="1" x14ac:dyDescent="0.3"/>
    <row r="843" spans="2:10" ht="15.75" thickBot="1" x14ac:dyDescent="0.3">
      <c r="B843" s="663" t="s">
        <v>137</v>
      </c>
      <c r="C843" s="665"/>
      <c r="D843" s="667" t="str">
        <f>D833</f>
        <v>DELA CESTNEGA GOSPODARSTVA</v>
      </c>
      <c r="E843" s="668"/>
      <c r="F843" s="668"/>
      <c r="G843" s="668"/>
      <c r="H843" s="668"/>
      <c r="I843" s="668"/>
      <c r="J843" s="669"/>
    </row>
    <row r="844" spans="2:10" ht="23.25" customHeight="1" thickBot="1" x14ac:dyDescent="0.3">
      <c r="B844" s="755" t="s">
        <v>37</v>
      </c>
      <c r="C844" s="786"/>
      <c r="D844" s="800" t="s">
        <v>38</v>
      </c>
      <c r="E844" s="801"/>
      <c r="F844" s="54" t="s">
        <v>177</v>
      </c>
      <c r="G844" s="54" t="s">
        <v>165</v>
      </c>
      <c r="H844" s="54" t="s">
        <v>183</v>
      </c>
      <c r="I844" s="67" t="s">
        <v>197</v>
      </c>
      <c r="J844" s="55" t="s">
        <v>42</v>
      </c>
    </row>
    <row r="845" spans="2:10" ht="24" customHeight="1" x14ac:dyDescent="0.25">
      <c r="B845" s="789" t="s">
        <v>144</v>
      </c>
      <c r="C845" s="790"/>
      <c r="D845" s="791" t="str">
        <f>CENIK_št_1!B139</f>
        <v>Zamenjava cestno prometnega znaka.(zamenjava pz, brez materiala)</v>
      </c>
      <c r="E845" s="792"/>
      <c r="F845" s="82"/>
      <c r="G845" s="82"/>
      <c r="H845" s="82"/>
      <c r="I845" s="82"/>
      <c r="J845" s="83"/>
    </row>
    <row r="846" spans="2:10" ht="27" customHeight="1" x14ac:dyDescent="0.25">
      <c r="B846" s="822"/>
      <c r="C846" s="854"/>
      <c r="D846" s="758" t="s">
        <v>178</v>
      </c>
      <c r="E846" s="759"/>
      <c r="F846" s="27"/>
      <c r="G846" s="58"/>
      <c r="H846" s="27"/>
      <c r="I846" s="27"/>
      <c r="J846" s="29"/>
    </row>
    <row r="847" spans="2:10" ht="24.75" customHeight="1" x14ac:dyDescent="0.25">
      <c r="B847" s="60"/>
      <c r="C847" s="61"/>
      <c r="D847" s="858" t="str">
        <f>CENIK_št_1!B33</f>
        <v>Delovodja, Skupinovodja, Preglednik, Dispečer, Voznik, Strojnik</v>
      </c>
      <c r="E847" s="859"/>
      <c r="F847" s="27">
        <v>0.5</v>
      </c>
      <c r="G847" s="28">
        <f>G837</f>
        <v>21.016080827612811</v>
      </c>
      <c r="H847" s="27"/>
      <c r="I847" s="27"/>
      <c r="J847" s="29">
        <f>F847*G847+0.155</f>
        <v>10.663040413806405</v>
      </c>
    </row>
    <row r="848" spans="2:10" x14ac:dyDescent="0.25">
      <c r="B848" s="60"/>
      <c r="C848" s="61"/>
      <c r="D848" s="858" t="str">
        <f>D838</f>
        <v xml:space="preserve">Komunalni delavec </v>
      </c>
      <c r="E848" s="859"/>
      <c r="F848" s="27">
        <v>1</v>
      </c>
      <c r="G848" s="28">
        <f>CENIK_št_1!K32</f>
        <v>20.747507542833958</v>
      </c>
      <c r="H848" s="27"/>
      <c r="I848" s="27"/>
      <c r="J848" s="79">
        <f>F848*G848+0.155</f>
        <v>20.902507542833959</v>
      </c>
    </row>
    <row r="849" spans="2:10" ht="15" customHeight="1" x14ac:dyDescent="0.25">
      <c r="B849" s="64"/>
      <c r="C849" s="65"/>
      <c r="D849" s="780" t="s">
        <v>179</v>
      </c>
      <c r="E849" s="781"/>
      <c r="F849" s="31"/>
      <c r="G849" s="80"/>
      <c r="H849" s="31"/>
      <c r="I849" s="31"/>
      <c r="J849" s="79"/>
    </row>
    <row r="850" spans="2:10" ht="15.75" customHeight="1" thickBot="1" x14ac:dyDescent="0.3">
      <c r="B850" s="64"/>
      <c r="C850" s="65"/>
      <c r="D850" s="784" t="str">
        <f>D840</f>
        <v>Tovorno vozilo do 3,5 t sdm</v>
      </c>
      <c r="E850" s="785"/>
      <c r="F850" s="91">
        <v>0.5</v>
      </c>
      <c r="G850" s="92">
        <f>G840</f>
        <v>33.810121642320418</v>
      </c>
      <c r="H850" s="90"/>
      <c r="I850" s="90"/>
      <c r="J850" s="93">
        <f>F850*G850</f>
        <v>16.905060821160209</v>
      </c>
    </row>
    <row r="851" spans="2:10" ht="15.75" thickBot="1" x14ac:dyDescent="0.3">
      <c r="B851" s="772"/>
      <c r="C851" s="773"/>
      <c r="D851" s="754" t="s">
        <v>210</v>
      </c>
      <c r="E851" s="774"/>
      <c r="F851" s="26"/>
      <c r="G851" s="66"/>
      <c r="H851" s="26"/>
      <c r="I851" s="26">
        <v>1</v>
      </c>
      <c r="J851" s="56">
        <f>SUM(J847:J850)-0.62</f>
        <v>47.850608777800581</v>
      </c>
    </row>
    <row r="852" spans="2:10" ht="15.75" thickBot="1" x14ac:dyDescent="0.3"/>
    <row r="853" spans="2:10" ht="15.75" thickBot="1" x14ac:dyDescent="0.3">
      <c r="B853" s="663" t="s">
        <v>137</v>
      </c>
      <c r="C853" s="665"/>
      <c r="D853" s="667" t="str">
        <f>D843</f>
        <v>DELA CESTNEGA GOSPODARSTVA</v>
      </c>
      <c r="E853" s="668"/>
      <c r="F853" s="668"/>
      <c r="G853" s="668"/>
      <c r="H853" s="668"/>
      <c r="I853" s="668"/>
      <c r="J853" s="669"/>
    </row>
    <row r="854" spans="2:10" ht="23.25" customHeight="1" thickBot="1" x14ac:dyDescent="0.3">
      <c r="B854" s="755" t="s">
        <v>37</v>
      </c>
      <c r="C854" s="786"/>
      <c r="D854" s="800" t="s">
        <v>38</v>
      </c>
      <c r="E854" s="801"/>
      <c r="F854" s="54" t="s">
        <v>177</v>
      </c>
      <c r="G854" s="54" t="s">
        <v>165</v>
      </c>
      <c r="H854" s="54" t="s">
        <v>183</v>
      </c>
      <c r="I854" s="67" t="s">
        <v>197</v>
      </c>
      <c r="J854" s="55" t="s">
        <v>42</v>
      </c>
    </row>
    <row r="855" spans="2:10" ht="21" customHeight="1" x14ac:dyDescent="0.25">
      <c r="B855" s="789" t="s">
        <v>145</v>
      </c>
      <c r="C855" s="790"/>
      <c r="D855" s="791" t="str">
        <f>CENIK_št_1!B140</f>
        <v>Zamenjava droga cestno prometnega znaka</v>
      </c>
      <c r="E855" s="792"/>
      <c r="F855" s="82"/>
      <c r="G855" s="82"/>
      <c r="H855" s="82"/>
      <c r="I855" s="82"/>
      <c r="J855" s="83"/>
    </row>
    <row r="856" spans="2:10" x14ac:dyDescent="0.25">
      <c r="B856" s="822"/>
      <c r="C856" s="854"/>
      <c r="D856" s="758" t="s">
        <v>178</v>
      </c>
      <c r="E856" s="759"/>
      <c r="F856" s="27"/>
      <c r="G856" s="58"/>
      <c r="H856" s="27"/>
      <c r="I856" s="27"/>
      <c r="J856" s="29"/>
    </row>
    <row r="857" spans="2:10" ht="24" customHeight="1" x14ac:dyDescent="0.25">
      <c r="B857" s="60"/>
      <c r="C857" s="61"/>
      <c r="D857" s="858" t="str">
        <f>D847</f>
        <v>Delovodja, Skupinovodja, Preglednik, Dispečer, Voznik, Strojnik</v>
      </c>
      <c r="E857" s="859"/>
      <c r="F857" s="27">
        <v>1</v>
      </c>
      <c r="G857" s="28">
        <f>G847</f>
        <v>21.016080827612811</v>
      </c>
      <c r="H857" s="27"/>
      <c r="I857" s="27"/>
      <c r="J857" s="29">
        <f>F857*G857</f>
        <v>21.016080827612811</v>
      </c>
    </row>
    <row r="858" spans="2:10" x14ac:dyDescent="0.25">
      <c r="B858" s="60"/>
      <c r="C858" s="61"/>
      <c r="D858" s="858" t="str">
        <f>D848</f>
        <v xml:space="preserve">Komunalni delavec </v>
      </c>
      <c r="E858" s="859"/>
      <c r="F858" s="27">
        <v>2</v>
      </c>
      <c r="G858" s="28">
        <f>CENIK_št_1!K32</f>
        <v>20.747507542833958</v>
      </c>
      <c r="H858" s="27"/>
      <c r="I858" s="27"/>
      <c r="J858" s="79">
        <f>F858*G858</f>
        <v>41.495015085667916</v>
      </c>
    </row>
    <row r="859" spans="2:10" ht="15" customHeight="1" x14ac:dyDescent="0.25">
      <c r="B859" s="64"/>
      <c r="C859" s="65"/>
      <c r="D859" s="780" t="s">
        <v>179</v>
      </c>
      <c r="E859" s="781"/>
      <c r="F859" s="31"/>
      <c r="G859" s="80"/>
      <c r="H859" s="31"/>
      <c r="I859" s="31"/>
      <c r="J859" s="79"/>
    </row>
    <row r="860" spans="2:10" ht="15.75" thickBot="1" x14ac:dyDescent="0.3">
      <c r="B860" s="64"/>
      <c r="C860" s="65"/>
      <c r="D860" s="784" t="str">
        <f>D850</f>
        <v>Tovorno vozilo do 3,5 t sdm</v>
      </c>
      <c r="E860" s="785"/>
      <c r="F860" s="91">
        <v>1</v>
      </c>
      <c r="G860" s="92">
        <f>G850</f>
        <v>33.810121642320418</v>
      </c>
      <c r="H860" s="90"/>
      <c r="I860" s="90"/>
      <c r="J860" s="93">
        <f>F860*G860</f>
        <v>33.810121642320418</v>
      </c>
    </row>
    <row r="861" spans="2:10" ht="15.75" thickBot="1" x14ac:dyDescent="0.3">
      <c r="B861" s="772"/>
      <c r="C861" s="773"/>
      <c r="D861" s="754" t="s">
        <v>210</v>
      </c>
      <c r="E861" s="774"/>
      <c r="F861" s="26"/>
      <c r="G861" s="66"/>
      <c r="H861" s="26"/>
      <c r="I861" s="26">
        <v>1</v>
      </c>
      <c r="J861" s="56">
        <f>SUM(J857:J860)-0.62</f>
        <v>95.701217555601147</v>
      </c>
    </row>
    <row r="862" spans="2:10" ht="15.75" thickBot="1" x14ac:dyDescent="0.3">
      <c r="B862" s="199"/>
      <c r="C862" s="199"/>
      <c r="D862" s="200"/>
      <c r="E862" s="200"/>
      <c r="F862" s="201"/>
      <c r="G862" s="202"/>
      <c r="H862" s="201"/>
      <c r="I862" s="201"/>
      <c r="J862" s="203"/>
    </row>
    <row r="863" spans="2:10" ht="15.75" thickBot="1" x14ac:dyDescent="0.3">
      <c r="B863" s="663" t="s">
        <v>137</v>
      </c>
      <c r="C863" s="665"/>
      <c r="D863" s="805" t="str">
        <f>D853</f>
        <v>DELA CESTNEGA GOSPODARSTVA</v>
      </c>
      <c r="E863" s="806"/>
      <c r="F863" s="806"/>
      <c r="G863" s="806"/>
      <c r="H863" s="806"/>
      <c r="I863" s="807"/>
      <c r="J863" s="363"/>
    </row>
    <row r="864" spans="2:10" ht="23.25" customHeight="1" thickBot="1" x14ac:dyDescent="0.3">
      <c r="B864" s="755" t="s">
        <v>37</v>
      </c>
      <c r="C864" s="786"/>
      <c r="D864" s="800" t="s">
        <v>38</v>
      </c>
      <c r="E864" s="801"/>
      <c r="F864" s="54" t="s">
        <v>364</v>
      </c>
      <c r="G864" s="54" t="s">
        <v>183</v>
      </c>
      <c r="H864" s="67" t="s">
        <v>197</v>
      </c>
      <c r="I864" s="55" t="s">
        <v>42</v>
      </c>
    </row>
    <row r="865" spans="2:11" x14ac:dyDescent="0.25">
      <c r="B865" s="789" t="s">
        <v>146</v>
      </c>
      <c r="C865" s="790"/>
      <c r="D865" s="791" t="str">
        <f>CENIK_št_1!B141</f>
        <v>Najemnina za cestno prometne znake</v>
      </c>
      <c r="E865" s="792"/>
      <c r="F865" s="82"/>
      <c r="G865" s="82"/>
      <c r="H865" s="82"/>
      <c r="I865" s="83"/>
    </row>
    <row r="866" spans="2:11" x14ac:dyDescent="0.25">
      <c r="B866" s="822"/>
      <c r="C866" s="854"/>
      <c r="D866" s="762" t="s">
        <v>365</v>
      </c>
      <c r="E866" s="759"/>
      <c r="F866" s="58"/>
      <c r="G866" s="27"/>
      <c r="H866" s="27"/>
      <c r="I866" s="29"/>
    </row>
    <row r="867" spans="2:11" ht="15" customHeight="1" x14ac:dyDescent="0.25">
      <c r="B867" s="60"/>
      <c r="C867" s="61"/>
      <c r="D867" s="858" t="s">
        <v>366</v>
      </c>
      <c r="E867" s="859"/>
      <c r="F867" s="28"/>
      <c r="G867" s="27">
        <v>95</v>
      </c>
      <c r="H867" s="27">
        <v>1</v>
      </c>
      <c r="I867" s="29">
        <v>110</v>
      </c>
    </row>
    <row r="868" spans="2:11" ht="15.75" customHeight="1" thickBot="1" x14ac:dyDescent="0.3">
      <c r="B868" s="60"/>
      <c r="C868" s="61"/>
      <c r="D868" s="858" t="s">
        <v>367</v>
      </c>
      <c r="E868" s="859"/>
      <c r="F868" s="27">
        <v>48</v>
      </c>
      <c r="G868" s="27"/>
      <c r="H868" s="27"/>
      <c r="I868" s="79"/>
    </row>
    <row r="869" spans="2:11" ht="15.75" thickBot="1" x14ac:dyDescent="0.3">
      <c r="B869" s="772"/>
      <c r="C869" s="773"/>
      <c r="D869" s="754" t="s">
        <v>210</v>
      </c>
      <c r="E869" s="774"/>
      <c r="F869" s="66"/>
      <c r="G869" s="26"/>
      <c r="H869" s="26">
        <v>1</v>
      </c>
      <c r="I869" s="56">
        <f>I867/F868</f>
        <v>2.2916666666666665</v>
      </c>
    </row>
    <row r="871" spans="2:11" ht="15.75" thickBot="1" x14ac:dyDescent="0.3">
      <c r="B871" s="144"/>
      <c r="C871" s="144"/>
      <c r="D871" s="144"/>
      <c r="E871" s="144"/>
      <c r="F871" s="144"/>
      <c r="G871" s="144"/>
      <c r="H871" s="144"/>
      <c r="I871" s="144"/>
      <c r="J871" s="144"/>
    </row>
    <row r="872" spans="2:11" ht="15.75" thickTop="1" x14ac:dyDescent="0.25"/>
    <row r="873" spans="2:11" ht="15.75" thickBot="1" x14ac:dyDescent="0.3"/>
    <row r="874" spans="2:11" ht="15.75" thickBot="1" x14ac:dyDescent="0.3">
      <c r="B874" s="663" t="s">
        <v>147</v>
      </c>
      <c r="C874" s="664"/>
      <c r="D874" s="667" t="str">
        <f>CENIK_št_1!B143</f>
        <v>ZIMSKA SLUŽBA</v>
      </c>
      <c r="E874" s="668"/>
      <c r="F874" s="668"/>
      <c r="G874" s="668"/>
      <c r="H874" s="668"/>
      <c r="I874" s="668"/>
      <c r="J874" s="668"/>
      <c r="K874" s="669"/>
    </row>
    <row r="875" spans="2:11" ht="23.25" customHeight="1" thickBot="1" x14ac:dyDescent="0.3">
      <c r="B875" s="755" t="s">
        <v>37</v>
      </c>
      <c r="C875" s="786"/>
      <c r="D875" s="787" t="s">
        <v>38</v>
      </c>
      <c r="E875" s="788"/>
      <c r="F875" s="52" t="s">
        <v>368</v>
      </c>
      <c r="G875" s="52" t="s">
        <v>369</v>
      </c>
      <c r="H875" s="52" t="s">
        <v>245</v>
      </c>
      <c r="I875" s="52" t="s">
        <v>246</v>
      </c>
      <c r="J875" s="52" t="s">
        <v>242</v>
      </c>
      <c r="K875" s="53" t="s">
        <v>42</v>
      </c>
    </row>
    <row r="876" spans="2:11" ht="27" customHeight="1" x14ac:dyDescent="0.25">
      <c r="B876" s="789" t="s">
        <v>370</v>
      </c>
      <c r="C876" s="790"/>
      <c r="D876" s="791" t="e">
        <f>CENIK_št_1!#REF!</f>
        <v>#REF!</v>
      </c>
      <c r="E876" s="792"/>
      <c r="F876" s="82"/>
      <c r="G876" s="82"/>
      <c r="H876" s="82"/>
      <c r="I876" s="82"/>
      <c r="J876" s="82"/>
      <c r="K876" s="83"/>
    </row>
    <row r="877" spans="2:11" x14ac:dyDescent="0.25">
      <c r="B877" s="822"/>
      <c r="C877" s="854"/>
      <c r="D877" s="758" t="s">
        <v>371</v>
      </c>
      <c r="E877" s="759"/>
      <c r="F877" s="27"/>
      <c r="G877" s="58"/>
      <c r="H877" s="28"/>
      <c r="I877" s="28"/>
      <c r="J877" s="27"/>
      <c r="K877" s="29"/>
    </row>
    <row r="878" spans="2:11" x14ac:dyDescent="0.25">
      <c r="B878" s="60"/>
      <c r="C878" s="61"/>
      <c r="D878" s="858" t="s">
        <v>372</v>
      </c>
      <c r="E878" s="859"/>
      <c r="F878" s="27">
        <v>1</v>
      </c>
      <c r="G878" s="28">
        <v>85</v>
      </c>
      <c r="H878" s="28"/>
      <c r="I878" s="28"/>
      <c r="J878" s="27">
        <v>40</v>
      </c>
      <c r="K878" s="29">
        <f>G878*(J878/100)</f>
        <v>34</v>
      </c>
    </row>
    <row r="879" spans="2:11" x14ac:dyDescent="0.25">
      <c r="B879" s="60"/>
      <c r="C879" s="61"/>
      <c r="D879" s="858" t="s">
        <v>373</v>
      </c>
      <c r="E879" s="859"/>
      <c r="F879" s="27">
        <v>1</v>
      </c>
      <c r="G879" s="28">
        <v>108</v>
      </c>
      <c r="H879" s="28"/>
      <c r="I879" s="28"/>
      <c r="J879" s="27">
        <v>35</v>
      </c>
      <c r="K879" s="29">
        <f>G879*(J879/100)</f>
        <v>37.799999999999997</v>
      </c>
    </row>
    <row r="880" spans="2:11" ht="15.75" thickBot="1" x14ac:dyDescent="0.3">
      <c r="B880" s="60"/>
      <c r="C880" s="61"/>
      <c r="D880" s="864" t="s">
        <v>374</v>
      </c>
      <c r="E880" s="865"/>
      <c r="F880" s="188">
        <v>1</v>
      </c>
      <c r="G880" s="189">
        <v>87</v>
      </c>
      <c r="H880" s="189"/>
      <c r="I880" s="189"/>
      <c r="J880" s="188">
        <v>25</v>
      </c>
      <c r="K880" s="30">
        <f>G880*(J880/100)</f>
        <v>21.75</v>
      </c>
    </row>
    <row r="881" spans="2:11" ht="15.75" customHeight="1" thickTop="1" x14ac:dyDescent="0.25">
      <c r="B881" s="60"/>
      <c r="C881" s="61"/>
      <c r="D881" s="862" t="s">
        <v>375</v>
      </c>
      <c r="E881" s="863"/>
      <c r="F881" s="27"/>
      <c r="G881" s="28"/>
      <c r="H881" s="28"/>
      <c r="I881" s="28"/>
      <c r="J881" s="27"/>
      <c r="K881" s="190">
        <f>SUM(K878:K880)</f>
        <v>93.55</v>
      </c>
    </row>
    <row r="882" spans="2:11" ht="15" customHeight="1" x14ac:dyDescent="0.25">
      <c r="B882" s="64"/>
      <c r="C882" s="65"/>
      <c r="D882" s="793" t="s">
        <v>243</v>
      </c>
      <c r="E882" s="781"/>
      <c r="F882" s="31"/>
      <c r="G882" s="80"/>
      <c r="H882" s="80"/>
      <c r="I882" s="80"/>
      <c r="J882" s="31"/>
      <c r="K882" s="79"/>
    </row>
    <row r="883" spans="2:11" ht="15" customHeight="1" x14ac:dyDescent="0.25">
      <c r="B883" s="64"/>
      <c r="C883" s="65"/>
      <c r="D883" s="780" t="s">
        <v>244</v>
      </c>
      <c r="E883" s="794"/>
      <c r="F883" s="31">
        <v>1</v>
      </c>
      <c r="G883" s="80"/>
      <c r="H883" s="192">
        <v>0.65</v>
      </c>
      <c r="I883" s="192">
        <f>CENIK_št_1!K76</f>
        <v>45.263871642320417</v>
      </c>
      <c r="J883" s="31"/>
      <c r="K883" s="193">
        <f>F883*H883*I883</f>
        <v>29.421516567508274</v>
      </c>
    </row>
    <row r="884" spans="2:11" ht="15" customHeight="1" x14ac:dyDescent="0.25">
      <c r="B884" s="64"/>
      <c r="C884" s="65"/>
      <c r="D884" s="793" t="s">
        <v>248</v>
      </c>
      <c r="E884" s="794"/>
      <c r="F884" s="31"/>
      <c r="G884" s="80"/>
      <c r="H884" s="192"/>
      <c r="I884" s="192"/>
      <c r="J884" s="31"/>
      <c r="K884" s="79"/>
    </row>
    <row r="885" spans="2:11" ht="15" customHeight="1" x14ac:dyDescent="0.25">
      <c r="B885" s="64"/>
      <c r="C885" s="65"/>
      <c r="D885" s="780" t="s">
        <v>262</v>
      </c>
      <c r="E885" s="781"/>
      <c r="F885" s="31"/>
      <c r="G885" s="80"/>
      <c r="H885" s="192"/>
      <c r="I885" s="192"/>
      <c r="J885" s="31">
        <v>20</v>
      </c>
      <c r="K885" s="193">
        <f>K881*0.2</f>
        <v>18.71</v>
      </c>
    </row>
    <row r="886" spans="2:11" ht="15" customHeight="1" x14ac:dyDescent="0.25">
      <c r="B886" s="64"/>
      <c r="C886" s="65"/>
      <c r="D886" s="793" t="s">
        <v>249</v>
      </c>
      <c r="E886" s="794"/>
      <c r="F886" s="31"/>
      <c r="G886" s="80"/>
      <c r="H886" s="192"/>
      <c r="I886" s="192"/>
      <c r="J886" s="31"/>
      <c r="K886" s="193"/>
    </row>
    <row r="887" spans="2:11" ht="15" customHeight="1" x14ac:dyDescent="0.25">
      <c r="B887" s="64"/>
      <c r="C887" s="65"/>
      <c r="D887" s="780" t="s">
        <v>250</v>
      </c>
      <c r="E887" s="781"/>
      <c r="F887" s="31">
        <v>700</v>
      </c>
      <c r="G887" s="80"/>
      <c r="H887" s="192">
        <v>16</v>
      </c>
      <c r="I887" s="192">
        <f>CENIK_št_1!K34</f>
        <v>29.565151586588335</v>
      </c>
      <c r="J887" s="31"/>
      <c r="K887" s="193">
        <f>H887*I887/F887+(0.01)</f>
        <v>0.68577489340773334</v>
      </c>
    </row>
    <row r="888" spans="2:11" ht="15" customHeight="1" x14ac:dyDescent="0.25">
      <c r="B888" s="64"/>
      <c r="C888" s="65"/>
      <c r="D888" s="780" t="s">
        <v>251</v>
      </c>
      <c r="E888" s="781"/>
      <c r="F888" s="31">
        <v>1</v>
      </c>
      <c r="G888" s="80"/>
      <c r="H888" s="192">
        <v>0.11</v>
      </c>
      <c r="I888" s="192">
        <f>CENIK_št_1!K33</f>
        <v>21.016080827612811</v>
      </c>
      <c r="J888" s="31"/>
      <c r="K888" s="193">
        <f>H888*I888/F888</f>
        <v>2.311768891037409</v>
      </c>
    </row>
    <row r="889" spans="2:11" ht="15" customHeight="1" x14ac:dyDescent="0.25">
      <c r="B889" s="64"/>
      <c r="C889" s="65"/>
      <c r="D889" s="780" t="s">
        <v>252</v>
      </c>
      <c r="E889" s="781"/>
      <c r="F889" s="31">
        <v>1</v>
      </c>
      <c r="G889" s="80"/>
      <c r="H889" s="192">
        <v>0.11</v>
      </c>
      <c r="I889" s="192">
        <f>I888</f>
        <v>21.016080827612811</v>
      </c>
      <c r="J889" s="31"/>
      <c r="K889" s="193">
        <f>H889*I889/F889</f>
        <v>2.311768891037409</v>
      </c>
    </row>
    <row r="890" spans="2:11" ht="15" customHeight="1" x14ac:dyDescent="0.25">
      <c r="B890" s="64"/>
      <c r="C890" s="65"/>
      <c r="D890" s="338"/>
      <c r="E890" s="341"/>
      <c r="F890" s="31"/>
      <c r="G890" s="80"/>
      <c r="H890" s="192"/>
      <c r="I890" s="192"/>
      <c r="J890" s="31"/>
      <c r="K890" s="193"/>
    </row>
    <row r="891" spans="2:11" ht="15.75" thickBot="1" x14ac:dyDescent="0.3">
      <c r="B891" s="64"/>
      <c r="C891" s="65"/>
      <c r="D891" s="784"/>
      <c r="E891" s="785"/>
      <c r="F891" s="91"/>
      <c r="G891" s="92"/>
      <c r="H891" s="92"/>
      <c r="I891" s="92"/>
      <c r="J891" s="90"/>
      <c r="K891" s="93"/>
    </row>
    <row r="892" spans="2:11" ht="15.75" thickBot="1" x14ac:dyDescent="0.3">
      <c r="B892" s="772"/>
      <c r="C892" s="773"/>
      <c r="D892" s="754" t="s">
        <v>241</v>
      </c>
      <c r="E892" s="774"/>
      <c r="F892" s="26"/>
      <c r="G892" s="66"/>
      <c r="H892" s="191"/>
      <c r="I892" s="191"/>
      <c r="J892" s="26"/>
      <c r="K892" s="56">
        <f>K881+K883+K885+K887+K888+K889</f>
        <v>146.99082924299086</v>
      </c>
    </row>
    <row r="894" spans="2:11" ht="15.75" thickBot="1" x14ac:dyDescent="0.3"/>
    <row r="895" spans="2:11" ht="15.75" thickBot="1" x14ac:dyDescent="0.3">
      <c r="B895" s="663" t="s">
        <v>147</v>
      </c>
      <c r="C895" s="664"/>
      <c r="D895" s="667" t="str">
        <f>D874</f>
        <v>ZIMSKA SLUŽBA</v>
      </c>
      <c r="E895" s="668"/>
      <c r="F895" s="668"/>
      <c r="G895" s="668"/>
      <c r="H895" s="668"/>
      <c r="I895" s="668"/>
      <c r="J895" s="668"/>
      <c r="K895" s="669"/>
    </row>
    <row r="896" spans="2:11" ht="23.25" customHeight="1" thickBot="1" x14ac:dyDescent="0.3">
      <c r="B896" s="755" t="s">
        <v>37</v>
      </c>
      <c r="C896" s="786"/>
      <c r="D896" s="787" t="s">
        <v>38</v>
      </c>
      <c r="E896" s="788"/>
      <c r="F896" s="52" t="s">
        <v>253</v>
      </c>
      <c r="G896" s="52" t="s">
        <v>263</v>
      </c>
      <c r="H896" s="52" t="s">
        <v>245</v>
      </c>
      <c r="I896" s="52" t="s">
        <v>246</v>
      </c>
      <c r="J896" s="52" t="s">
        <v>242</v>
      </c>
      <c r="K896" s="53" t="s">
        <v>42</v>
      </c>
    </row>
    <row r="897" spans="2:11" ht="20.25" customHeight="1" x14ac:dyDescent="0.25">
      <c r="B897" s="789" t="s">
        <v>254</v>
      </c>
      <c r="C897" s="790"/>
      <c r="D897" s="791" t="e">
        <f>CENIK_št_1!#REF!</f>
        <v>#REF!</v>
      </c>
      <c r="E897" s="792"/>
      <c r="F897" s="82"/>
      <c r="G897" s="82"/>
      <c r="H897" s="82"/>
      <c r="I897" s="82"/>
      <c r="J897" s="82"/>
      <c r="K897" s="83"/>
    </row>
    <row r="898" spans="2:11" ht="15" customHeight="1" x14ac:dyDescent="0.25">
      <c r="B898" s="822"/>
      <c r="C898" s="854"/>
      <c r="D898" s="758" t="s">
        <v>255</v>
      </c>
      <c r="E898" s="759"/>
      <c r="F898" s="27"/>
      <c r="G898" s="58"/>
      <c r="H898" s="28"/>
      <c r="I898" s="28"/>
      <c r="J898" s="27"/>
      <c r="K898" s="29"/>
    </row>
    <row r="899" spans="2:11" ht="24.75" customHeight="1" thickBot="1" x14ac:dyDescent="0.3">
      <c r="B899" s="60"/>
      <c r="C899" s="61"/>
      <c r="D899" s="858" t="s">
        <v>264</v>
      </c>
      <c r="E899" s="859"/>
      <c r="F899" s="188">
        <v>1</v>
      </c>
      <c r="G899" s="189">
        <v>29.5</v>
      </c>
      <c r="H899" s="189"/>
      <c r="I899" s="189"/>
      <c r="J899" s="188">
        <v>100</v>
      </c>
      <c r="K899" s="30">
        <f>G899*(J899/100)</f>
        <v>29.5</v>
      </c>
    </row>
    <row r="900" spans="2:11" ht="15.75" customHeight="1" thickTop="1" x14ac:dyDescent="0.25">
      <c r="B900" s="60"/>
      <c r="C900" s="61"/>
      <c r="D900" s="862" t="s">
        <v>256</v>
      </c>
      <c r="E900" s="863"/>
      <c r="F900" s="27"/>
      <c r="G900" s="28"/>
      <c r="H900" s="28"/>
      <c r="I900" s="28"/>
      <c r="J900" s="27"/>
      <c r="K900" s="190">
        <f>SUM(K899:K899)</f>
        <v>29.5</v>
      </c>
    </row>
    <row r="901" spans="2:11" ht="15.75" customHeight="1" x14ac:dyDescent="0.25">
      <c r="B901" s="64"/>
      <c r="C901" s="65"/>
      <c r="D901" s="793" t="s">
        <v>243</v>
      </c>
      <c r="E901" s="781"/>
      <c r="F901" s="31"/>
      <c r="G901" s="80"/>
      <c r="H901" s="80"/>
      <c r="I901" s="80"/>
      <c r="J901" s="31"/>
      <c r="K901" s="79"/>
    </row>
    <row r="902" spans="2:11" ht="15" customHeight="1" x14ac:dyDescent="0.25">
      <c r="B902" s="64"/>
      <c r="C902" s="65"/>
      <c r="D902" s="780" t="s">
        <v>244</v>
      </c>
      <c r="E902" s="794"/>
      <c r="F902" s="31">
        <v>1</v>
      </c>
      <c r="G902" s="80"/>
      <c r="H902" s="192">
        <v>0.19</v>
      </c>
      <c r="I902" s="192">
        <v>33</v>
      </c>
      <c r="J902" s="31"/>
      <c r="K902" s="193">
        <f>F902*H902*I902-0.01</f>
        <v>6.2600000000000007</v>
      </c>
    </row>
    <row r="903" spans="2:11" ht="15" customHeight="1" x14ac:dyDescent="0.25">
      <c r="B903" s="64"/>
      <c r="C903" s="65"/>
      <c r="D903" s="793" t="s">
        <v>248</v>
      </c>
      <c r="E903" s="794"/>
      <c r="F903" s="31"/>
      <c r="G903" s="80"/>
      <c r="H903" s="192"/>
      <c r="I903" s="192"/>
      <c r="J903" s="31"/>
      <c r="K903" s="79"/>
    </row>
    <row r="904" spans="2:11" ht="15" customHeight="1" x14ac:dyDescent="0.25">
      <c r="B904" s="64"/>
      <c r="C904" s="65"/>
      <c r="D904" s="780" t="s">
        <v>247</v>
      </c>
      <c r="E904" s="781"/>
      <c r="F904" s="31"/>
      <c r="G904" s="80"/>
      <c r="H904" s="192"/>
      <c r="I904" s="192"/>
      <c r="J904" s="31">
        <v>2.5</v>
      </c>
      <c r="K904" s="193">
        <f>K900*0.025</f>
        <v>0.73750000000000004</v>
      </c>
    </row>
    <row r="905" spans="2:11" ht="15" customHeight="1" x14ac:dyDescent="0.25">
      <c r="B905" s="64"/>
      <c r="C905" s="65"/>
      <c r="D905" s="793" t="s">
        <v>249</v>
      </c>
      <c r="E905" s="794"/>
      <c r="F905" s="31"/>
      <c r="G905" s="80"/>
      <c r="H905" s="192"/>
      <c r="I905" s="192"/>
      <c r="J905" s="31"/>
      <c r="K905" s="193"/>
    </row>
    <row r="906" spans="2:11" ht="15" customHeight="1" x14ac:dyDescent="0.25">
      <c r="B906" s="64"/>
      <c r="C906" s="65"/>
      <c r="D906" s="780" t="s">
        <v>250</v>
      </c>
      <c r="E906" s="781"/>
      <c r="F906" s="31">
        <v>250</v>
      </c>
      <c r="G906" s="80"/>
      <c r="H906" s="192">
        <v>9</v>
      </c>
      <c r="I906" s="192">
        <f>CENIK_št_1!K34</f>
        <v>29.565151586588335</v>
      </c>
      <c r="J906" s="31"/>
      <c r="K906" s="193">
        <f>H906*I906/F906</f>
        <v>1.0643454571171802</v>
      </c>
    </row>
    <row r="907" spans="2:11" ht="15" customHeight="1" x14ac:dyDescent="0.25">
      <c r="B907" s="64"/>
      <c r="C907" s="65"/>
      <c r="D907" s="780" t="s">
        <v>251</v>
      </c>
      <c r="E907" s="781"/>
      <c r="F907" s="31">
        <v>1</v>
      </c>
      <c r="G907" s="80"/>
      <c r="H907" s="192">
        <v>0.04</v>
      </c>
      <c r="I907" s="192">
        <f>CENIK_št_1!K33</f>
        <v>21.016080827612811</v>
      </c>
      <c r="J907" s="31"/>
      <c r="K907" s="193">
        <f>H907*I907/F907-0.06</f>
        <v>0.78064323310451256</v>
      </c>
    </row>
    <row r="908" spans="2:11" ht="15" customHeight="1" x14ac:dyDescent="0.25">
      <c r="B908" s="64"/>
      <c r="C908" s="65"/>
      <c r="D908" s="780" t="s">
        <v>252</v>
      </c>
      <c r="E908" s="781"/>
      <c r="F908" s="31">
        <v>1</v>
      </c>
      <c r="G908" s="80"/>
      <c r="H908" s="192">
        <v>0.04</v>
      </c>
      <c r="I908" s="192">
        <f>I907</f>
        <v>21.016080827612811</v>
      </c>
      <c r="J908" s="31"/>
      <c r="K908" s="193">
        <f>H908*I908/F908-0.06</f>
        <v>0.78064323310451256</v>
      </c>
    </row>
    <row r="909" spans="2:11" ht="15" customHeight="1" x14ac:dyDescent="0.25">
      <c r="B909" s="64"/>
      <c r="C909" s="65"/>
      <c r="D909" s="338"/>
      <c r="E909" s="341"/>
      <c r="F909" s="31"/>
      <c r="G909" s="80"/>
      <c r="H909" s="192"/>
      <c r="I909" s="192"/>
      <c r="J909" s="31"/>
      <c r="K909" s="193"/>
    </row>
    <row r="910" spans="2:11" ht="15.75" thickBot="1" x14ac:dyDescent="0.3">
      <c r="B910" s="64"/>
      <c r="C910" s="65"/>
      <c r="D910" s="784"/>
      <c r="E910" s="785"/>
      <c r="F910" s="91"/>
      <c r="G910" s="92"/>
      <c r="H910" s="92"/>
      <c r="I910" s="92"/>
      <c r="J910" s="90"/>
      <c r="K910" s="93"/>
    </row>
    <row r="911" spans="2:11" ht="15.75" thickBot="1" x14ac:dyDescent="0.3">
      <c r="B911" s="772"/>
      <c r="C911" s="773"/>
      <c r="D911" s="754" t="s">
        <v>200</v>
      </c>
      <c r="E911" s="774"/>
      <c r="F911" s="26"/>
      <c r="G911" s="66"/>
      <c r="H911" s="191"/>
      <c r="I911" s="191"/>
      <c r="J911" s="26"/>
      <c r="K911" s="56">
        <f>K900+K902+K904+K906+K907+K908-0.12</f>
        <v>39.003131923326201</v>
      </c>
    </row>
    <row r="913" spans="2:11" ht="15.75" thickBot="1" x14ac:dyDescent="0.3"/>
    <row r="914" spans="2:11" ht="15.75" thickBot="1" x14ac:dyDescent="0.3">
      <c r="B914" s="663" t="s">
        <v>147</v>
      </c>
      <c r="C914" s="664"/>
      <c r="D914" s="667" t="str">
        <f>D895</f>
        <v>ZIMSKA SLUŽBA</v>
      </c>
      <c r="E914" s="668"/>
      <c r="F914" s="668"/>
      <c r="G914" s="668"/>
      <c r="H914" s="669"/>
      <c r="I914" s="363"/>
      <c r="J914" s="363"/>
      <c r="K914" s="363"/>
    </row>
    <row r="915" spans="2:11" ht="15.75" thickBot="1" x14ac:dyDescent="0.3">
      <c r="B915" s="755" t="s">
        <v>37</v>
      </c>
      <c r="C915" s="786"/>
      <c r="D915" s="787" t="s">
        <v>38</v>
      </c>
      <c r="E915" s="788"/>
      <c r="F915" s="52" t="s">
        <v>376</v>
      </c>
      <c r="G915" s="52" t="s">
        <v>377</v>
      </c>
      <c r="H915" s="53" t="s">
        <v>42</v>
      </c>
    </row>
    <row r="916" spans="2:11" x14ac:dyDescent="0.25">
      <c r="B916" s="789" t="s">
        <v>254</v>
      </c>
      <c r="C916" s="790"/>
      <c r="D916" s="791" t="str">
        <f>CENIK_št_1!B144</f>
        <v>Priprava stroja na zimo.</v>
      </c>
      <c r="E916" s="792"/>
      <c r="F916" s="82"/>
      <c r="G916" s="82"/>
      <c r="H916" s="83"/>
    </row>
    <row r="917" spans="2:11" x14ac:dyDescent="0.25">
      <c r="B917" s="822"/>
      <c r="C917" s="854"/>
      <c r="D917" s="758" t="s">
        <v>378</v>
      </c>
      <c r="E917" s="759"/>
      <c r="F917" s="27"/>
      <c r="G917" s="28"/>
      <c r="H917" s="29"/>
    </row>
    <row r="918" spans="2:11" x14ac:dyDescent="0.25">
      <c r="B918" s="60"/>
      <c r="C918" s="61"/>
      <c r="D918" s="758" t="s">
        <v>379</v>
      </c>
      <c r="E918" s="759"/>
      <c r="F918" s="31">
        <v>1</v>
      </c>
      <c r="G918" s="58">
        <v>350</v>
      </c>
      <c r="H918" s="33">
        <v>207.55</v>
      </c>
    </row>
    <row r="919" spans="2:11" x14ac:dyDescent="0.25">
      <c r="B919" s="60"/>
      <c r="C919" s="61"/>
      <c r="D919" s="758" t="s">
        <v>380</v>
      </c>
      <c r="E919" s="759"/>
      <c r="F919" s="32">
        <v>1</v>
      </c>
      <c r="G919" s="364">
        <v>350</v>
      </c>
      <c r="H919" s="33">
        <v>207.55</v>
      </c>
    </row>
    <row r="920" spans="2:11" ht="15.75" thickBot="1" x14ac:dyDescent="0.3">
      <c r="B920" s="60"/>
      <c r="C920" s="61"/>
      <c r="D920" s="858" t="s">
        <v>381</v>
      </c>
      <c r="E920" s="859"/>
      <c r="F920" s="188">
        <v>1</v>
      </c>
      <c r="G920" s="189">
        <v>350</v>
      </c>
      <c r="H920" s="30">
        <v>207.55</v>
      </c>
    </row>
    <row r="921" spans="2:11" ht="15.75" thickTop="1" x14ac:dyDescent="0.25">
      <c r="B921" s="60"/>
      <c r="C921" s="61"/>
      <c r="D921" s="862"/>
      <c r="E921" s="863"/>
      <c r="F921" s="28"/>
      <c r="G921" s="28"/>
      <c r="H921" s="190">
        <f>SUM(H918:H920)</f>
        <v>622.65000000000009</v>
      </c>
    </row>
    <row r="922" spans="2:11" ht="15.75" thickBot="1" x14ac:dyDescent="0.3">
      <c r="B922" s="64"/>
      <c r="C922" s="65"/>
      <c r="D922" s="784"/>
      <c r="E922" s="785"/>
      <c r="F922" s="92"/>
      <c r="G922" s="92"/>
      <c r="H922" s="93"/>
    </row>
    <row r="923" spans="2:11" ht="15.75" thickBot="1" x14ac:dyDescent="0.3">
      <c r="B923" s="772"/>
      <c r="C923" s="773"/>
      <c r="D923" s="754" t="s">
        <v>257</v>
      </c>
      <c r="E923" s="774"/>
      <c r="F923" s="191"/>
      <c r="G923" s="191"/>
      <c r="H923" s="56">
        <f>H921</f>
        <v>622.65000000000009</v>
      </c>
    </row>
    <row r="925" spans="2:11" ht="15.75" thickBot="1" x14ac:dyDescent="0.3"/>
    <row r="926" spans="2:11" ht="15.75" thickBot="1" x14ac:dyDescent="0.3">
      <c r="B926" s="663" t="s">
        <v>147</v>
      </c>
      <c r="C926" s="664"/>
      <c r="D926" s="667" t="str">
        <f>D914</f>
        <v>ZIMSKA SLUŽBA</v>
      </c>
      <c r="E926" s="668"/>
      <c r="F926" s="668"/>
      <c r="G926" s="668"/>
      <c r="H926" s="669"/>
      <c r="I926" s="363"/>
      <c r="J926" s="363"/>
      <c r="K926" s="363"/>
    </row>
    <row r="927" spans="2:11" ht="15.75" thickBot="1" x14ac:dyDescent="0.3">
      <c r="B927" s="755" t="s">
        <v>37</v>
      </c>
      <c r="C927" s="786"/>
      <c r="D927" s="787" t="s">
        <v>38</v>
      </c>
      <c r="E927" s="788"/>
      <c r="F927" s="52" t="s">
        <v>258</v>
      </c>
      <c r="G927" s="52" t="s">
        <v>259</v>
      </c>
      <c r="H927" s="53" t="s">
        <v>42</v>
      </c>
    </row>
    <row r="928" spans="2:11" x14ac:dyDescent="0.25">
      <c r="B928" s="789" t="s">
        <v>370</v>
      </c>
      <c r="C928" s="790"/>
      <c r="D928" s="791" t="s">
        <v>173</v>
      </c>
      <c r="E928" s="792"/>
      <c r="F928" s="82"/>
      <c r="G928" s="82"/>
      <c r="H928" s="83"/>
    </row>
    <row r="929" spans="2:11" ht="15" customHeight="1" x14ac:dyDescent="0.25">
      <c r="B929" s="822"/>
      <c r="C929" s="854"/>
      <c r="D929" s="793" t="s">
        <v>382</v>
      </c>
      <c r="E929" s="781"/>
      <c r="F929" s="27"/>
      <c r="G929" s="28"/>
      <c r="H929" s="29"/>
    </row>
    <row r="930" spans="2:11" ht="15.75" thickBot="1" x14ac:dyDescent="0.3">
      <c r="B930" s="60"/>
      <c r="C930" s="61"/>
      <c r="D930" s="758" t="s">
        <v>383</v>
      </c>
      <c r="E930" s="759"/>
      <c r="F930" s="188">
        <v>350</v>
      </c>
      <c r="G930" s="189">
        <f>1.3*1.06</f>
        <v>1.3780000000000001</v>
      </c>
      <c r="H930" s="30">
        <f>F930*G930</f>
        <v>482.30000000000007</v>
      </c>
    </row>
    <row r="931" spans="2:11" ht="15.75" thickTop="1" x14ac:dyDescent="0.25">
      <c r="B931" s="60"/>
      <c r="C931" s="61"/>
      <c r="D931" s="862"/>
      <c r="E931" s="863"/>
      <c r="F931" s="28"/>
      <c r="G931" s="28"/>
      <c r="H931" s="190">
        <f>SUM(H930:H930)</f>
        <v>482.30000000000007</v>
      </c>
    </row>
    <row r="932" spans="2:11" ht="15.75" thickBot="1" x14ac:dyDescent="0.3">
      <c r="B932" s="64"/>
      <c r="C932" s="65"/>
      <c r="D932" s="784"/>
      <c r="E932" s="785"/>
      <c r="F932" s="92"/>
      <c r="G932" s="92"/>
      <c r="H932" s="93"/>
    </row>
    <row r="933" spans="2:11" ht="15.75" thickBot="1" x14ac:dyDescent="0.3">
      <c r="B933" s="772"/>
      <c r="C933" s="773"/>
      <c r="D933" s="754" t="s">
        <v>257</v>
      </c>
      <c r="E933" s="774"/>
      <c r="F933" s="191"/>
      <c r="G933" s="191"/>
      <c r="H933" s="56">
        <f>H931</f>
        <v>482.30000000000007</v>
      </c>
    </row>
    <row r="934" spans="2:11" x14ac:dyDescent="0.25">
      <c r="B934" s="199"/>
      <c r="C934" s="199"/>
      <c r="D934" s="200"/>
      <c r="E934" s="200"/>
      <c r="F934" s="202"/>
      <c r="G934" s="202"/>
      <c r="H934" s="203"/>
    </row>
    <row r="935" spans="2:11" ht="15.75" thickBot="1" x14ac:dyDescent="0.3">
      <c r="B935" s="63"/>
      <c r="C935" s="63"/>
      <c r="D935" s="63"/>
      <c r="E935" s="63"/>
      <c r="F935" s="63"/>
      <c r="G935" s="63"/>
      <c r="H935" s="63"/>
      <c r="I935"/>
      <c r="J935"/>
      <c r="K935"/>
    </row>
    <row r="936" spans="2:11" ht="16.5" thickTop="1" thickBot="1" x14ac:dyDescent="0.3">
      <c r="B936"/>
      <c r="C936"/>
      <c r="D936"/>
      <c r="E936"/>
      <c r="F936"/>
      <c r="G936"/>
      <c r="H936"/>
      <c r="I936"/>
      <c r="J936"/>
      <c r="K936"/>
    </row>
    <row r="937" spans="2:11" ht="15.75" thickBot="1" x14ac:dyDescent="0.3">
      <c r="B937" s="663" t="s">
        <v>160</v>
      </c>
      <c r="C937" s="664"/>
      <c r="D937" s="667" t="str">
        <f>CENIK_št_1!B147</f>
        <v>OSTALA DELA</v>
      </c>
      <c r="E937" s="668"/>
      <c r="F937" s="668"/>
      <c r="G937" s="668"/>
      <c r="H937" s="669"/>
      <c r="I937"/>
      <c r="J937"/>
      <c r="K937"/>
    </row>
    <row r="938" spans="2:11" ht="23.25" thickBot="1" x14ac:dyDescent="0.3">
      <c r="B938" s="755" t="s">
        <v>37</v>
      </c>
      <c r="C938" s="786"/>
      <c r="D938" s="787" t="s">
        <v>38</v>
      </c>
      <c r="E938" s="788"/>
      <c r="F938" s="52" t="s">
        <v>449</v>
      </c>
      <c r="G938" s="52" t="s">
        <v>448</v>
      </c>
      <c r="H938" s="53" t="s">
        <v>42</v>
      </c>
    </row>
    <row r="939" spans="2:11" ht="26.25" customHeight="1" x14ac:dyDescent="0.25">
      <c r="B939" s="789" t="s">
        <v>161</v>
      </c>
      <c r="C939" s="790"/>
      <c r="D939" s="791" t="s">
        <v>459</v>
      </c>
      <c r="E939" s="792"/>
      <c r="F939" s="82"/>
      <c r="G939" s="82"/>
      <c r="H939" s="83"/>
    </row>
    <row r="940" spans="2:11" ht="30" customHeight="1" x14ac:dyDescent="0.25">
      <c r="B940" s="760" t="s">
        <v>451</v>
      </c>
      <c r="C940" s="761"/>
      <c r="D940" s="798" t="s">
        <v>444</v>
      </c>
      <c r="E940" s="799"/>
      <c r="F940" s="27">
        <v>1</v>
      </c>
      <c r="G940" s="27">
        <v>116.42</v>
      </c>
      <c r="H940" s="27">
        <f>F940*G940</f>
        <v>116.42</v>
      </c>
    </row>
    <row r="941" spans="2:11" ht="15" customHeight="1" x14ac:dyDescent="0.25">
      <c r="B941" s="760" t="s">
        <v>452</v>
      </c>
      <c r="C941" s="761"/>
      <c r="D941" s="782" t="s">
        <v>445</v>
      </c>
      <c r="E941" s="783"/>
      <c r="F941" s="27">
        <v>1</v>
      </c>
      <c r="G941" s="27">
        <v>53.52</v>
      </c>
      <c r="H941" s="27">
        <f>F941*G941</f>
        <v>53.52</v>
      </c>
    </row>
    <row r="942" spans="2:11" ht="15" customHeight="1" x14ac:dyDescent="0.25">
      <c r="B942" s="760" t="s">
        <v>453</v>
      </c>
      <c r="C942" s="761"/>
      <c r="D942" s="782" t="s">
        <v>446</v>
      </c>
      <c r="E942" s="783"/>
      <c r="F942" s="27">
        <v>1</v>
      </c>
      <c r="G942" s="27">
        <v>5.62</v>
      </c>
      <c r="H942" s="27">
        <f t="shared" ref="H942:H945" si="0">F942*G942</f>
        <v>5.62</v>
      </c>
    </row>
    <row r="943" spans="2:11" ht="25.5" customHeight="1" x14ac:dyDescent="0.25">
      <c r="B943" s="760" t="s">
        <v>454</v>
      </c>
      <c r="C943" s="761"/>
      <c r="D943" s="782" t="s">
        <v>447</v>
      </c>
      <c r="E943" s="783"/>
      <c r="F943" s="27">
        <v>1</v>
      </c>
      <c r="G943" s="27">
        <v>2.14</v>
      </c>
      <c r="H943" s="27">
        <f t="shared" si="0"/>
        <v>2.14</v>
      </c>
    </row>
    <row r="944" spans="2:11" ht="15" customHeight="1" x14ac:dyDescent="0.25">
      <c r="B944" s="760" t="s">
        <v>455</v>
      </c>
      <c r="C944" s="761"/>
      <c r="D944" s="782" t="s">
        <v>450</v>
      </c>
      <c r="E944" s="783"/>
      <c r="F944" s="27">
        <v>1</v>
      </c>
      <c r="G944" s="27">
        <v>2.1</v>
      </c>
      <c r="H944" s="27">
        <f t="shared" si="0"/>
        <v>2.1</v>
      </c>
    </row>
    <row r="945" spans="2:8" x14ac:dyDescent="0.25">
      <c r="B945" s="760" t="s">
        <v>456</v>
      </c>
      <c r="C945" s="761"/>
      <c r="D945" s="780" t="s">
        <v>457</v>
      </c>
      <c r="E945" s="781"/>
      <c r="F945" s="27">
        <v>1</v>
      </c>
      <c r="G945" s="27">
        <v>3.44</v>
      </c>
      <c r="H945" s="27">
        <f t="shared" si="0"/>
        <v>3.44</v>
      </c>
    </row>
    <row r="946" spans="2:8" ht="15.75" thickBot="1" x14ac:dyDescent="0.3">
      <c r="B946" s="64"/>
      <c r="C946" s="65"/>
      <c r="D946" s="784"/>
      <c r="E946" s="785"/>
      <c r="F946" s="92"/>
      <c r="G946" s="92"/>
      <c r="H946" s="93"/>
    </row>
    <row r="947" spans="2:8" ht="15.75" thickBot="1" x14ac:dyDescent="0.3">
      <c r="B947" s="772"/>
      <c r="C947" s="773"/>
      <c r="D947" s="754" t="s">
        <v>257</v>
      </c>
      <c r="E947" s="774"/>
      <c r="F947" s="191"/>
      <c r="G947" s="191"/>
      <c r="H947" s="56">
        <f>SUM(H940:H946)</f>
        <v>183.23999999999998</v>
      </c>
    </row>
    <row r="948" spans="2:8" ht="15.75" thickBot="1" x14ac:dyDescent="0.3">
      <c r="H948" s="408"/>
    </row>
    <row r="949" spans="2:8" ht="15.75" thickBot="1" x14ac:dyDescent="0.3">
      <c r="B949" s="663" t="s">
        <v>160</v>
      </c>
      <c r="C949" s="664"/>
      <c r="D949" s="667" t="str">
        <f>CENIK_št_1!B147</f>
        <v>OSTALA DELA</v>
      </c>
      <c r="E949" s="668"/>
      <c r="F949" s="668"/>
      <c r="G949" s="668"/>
      <c r="H949" s="669"/>
    </row>
    <row r="950" spans="2:8" ht="23.25" thickBot="1" x14ac:dyDescent="0.3">
      <c r="B950" s="755" t="s">
        <v>37</v>
      </c>
      <c r="C950" s="786"/>
      <c r="D950" s="787" t="s">
        <v>38</v>
      </c>
      <c r="E950" s="788"/>
      <c r="F950" s="52" t="s">
        <v>449</v>
      </c>
      <c r="G950" s="52" t="s">
        <v>448</v>
      </c>
      <c r="H950" s="53" t="s">
        <v>42</v>
      </c>
    </row>
    <row r="951" spans="2:8" ht="28.5" customHeight="1" x14ac:dyDescent="0.25">
      <c r="B951" s="789" t="s">
        <v>162</v>
      </c>
      <c r="C951" s="790"/>
      <c r="D951" s="791" t="s">
        <v>458</v>
      </c>
      <c r="E951" s="792"/>
      <c r="F951" s="82"/>
      <c r="G951" s="82"/>
      <c r="H951" s="83"/>
    </row>
    <row r="952" spans="2:8" ht="26.25" customHeight="1" x14ac:dyDescent="0.25">
      <c r="B952" s="760" t="s">
        <v>451</v>
      </c>
      <c r="C952" s="761"/>
      <c r="D952" s="782" t="s">
        <v>444</v>
      </c>
      <c r="E952" s="783"/>
      <c r="F952" s="27">
        <v>1</v>
      </c>
      <c r="G952" s="27">
        <v>116.42</v>
      </c>
      <c r="H952" s="27">
        <f>F952*G952</f>
        <v>116.42</v>
      </c>
    </row>
    <row r="953" spans="2:8" x14ac:dyDescent="0.25">
      <c r="B953" s="760" t="s">
        <v>462</v>
      </c>
      <c r="C953" s="761"/>
      <c r="D953" s="782" t="s">
        <v>445</v>
      </c>
      <c r="E953" s="783"/>
      <c r="F953" s="27">
        <v>1</v>
      </c>
      <c r="G953" s="27">
        <v>22.4</v>
      </c>
      <c r="H953" s="27">
        <f>F953*G953</f>
        <v>22.4</v>
      </c>
    </row>
    <row r="954" spans="2:8" x14ac:dyDescent="0.25">
      <c r="B954" s="760" t="s">
        <v>463</v>
      </c>
      <c r="C954" s="761"/>
      <c r="D954" s="782" t="s">
        <v>446</v>
      </c>
      <c r="E954" s="783"/>
      <c r="F954" s="27">
        <v>1</v>
      </c>
      <c r="G954" s="27">
        <v>11.95</v>
      </c>
      <c r="H954" s="27">
        <f t="shared" ref="H954:H957" si="1">F954*G954</f>
        <v>11.95</v>
      </c>
    </row>
    <row r="955" spans="2:8" ht="24.75" customHeight="1" x14ac:dyDescent="0.25">
      <c r="B955" s="760" t="s">
        <v>464</v>
      </c>
      <c r="C955" s="761"/>
      <c r="D955" s="782" t="s">
        <v>447</v>
      </c>
      <c r="E955" s="783"/>
      <c r="F955" s="27">
        <v>1</v>
      </c>
      <c r="G955" s="27">
        <v>12.44</v>
      </c>
      <c r="H955" s="27">
        <f t="shared" si="1"/>
        <v>12.44</v>
      </c>
    </row>
    <row r="956" spans="2:8" x14ac:dyDescent="0.25">
      <c r="B956" s="760" t="s">
        <v>465</v>
      </c>
      <c r="C956" s="761"/>
      <c r="D956" s="782" t="s">
        <v>450</v>
      </c>
      <c r="E956" s="783"/>
      <c r="F956" s="27">
        <v>1</v>
      </c>
      <c r="G956" s="27">
        <v>5.82</v>
      </c>
      <c r="H956" s="27">
        <f t="shared" si="1"/>
        <v>5.82</v>
      </c>
    </row>
    <row r="957" spans="2:8" x14ac:dyDescent="0.25">
      <c r="B957" s="760" t="s">
        <v>466</v>
      </c>
      <c r="C957" s="761"/>
      <c r="D957" s="780" t="s">
        <v>457</v>
      </c>
      <c r="E957" s="781"/>
      <c r="F957" s="27">
        <v>1</v>
      </c>
      <c r="G957" s="27">
        <v>16.78</v>
      </c>
      <c r="H957" s="27">
        <f t="shared" si="1"/>
        <v>16.78</v>
      </c>
    </row>
    <row r="958" spans="2:8" ht="15.75" thickBot="1" x14ac:dyDescent="0.3">
      <c r="B958" s="64"/>
      <c r="C958" s="65"/>
      <c r="D958" s="784"/>
      <c r="E958" s="785"/>
      <c r="F958" s="92"/>
      <c r="G958" s="92"/>
      <c r="H958" s="93"/>
    </row>
    <row r="959" spans="2:8" ht="15.75" thickBot="1" x14ac:dyDescent="0.3">
      <c r="B959" s="772"/>
      <c r="C959" s="773"/>
      <c r="D959" s="754" t="s">
        <v>257</v>
      </c>
      <c r="E959" s="774"/>
      <c r="F959" s="191"/>
      <c r="G959" s="191"/>
      <c r="H959" s="56">
        <f>SUM(H952:H958)</f>
        <v>185.80999999999997</v>
      </c>
    </row>
    <row r="960" spans="2:8" ht="15.75" thickBot="1" x14ac:dyDescent="0.3"/>
    <row r="961" spans="2:8" ht="15.75" thickBot="1" x14ac:dyDescent="0.3">
      <c r="B961" s="663" t="s">
        <v>160</v>
      </c>
      <c r="C961" s="664"/>
      <c r="D961" s="667" t="str">
        <f>CENIK_št_1!B147</f>
        <v>OSTALA DELA</v>
      </c>
      <c r="E961" s="668"/>
      <c r="F961" s="668"/>
      <c r="G961" s="668"/>
      <c r="H961" s="669"/>
    </row>
    <row r="962" spans="2:8" ht="23.25" thickBot="1" x14ac:dyDescent="0.3">
      <c r="B962" s="755" t="s">
        <v>37</v>
      </c>
      <c r="C962" s="786"/>
      <c r="D962" s="787" t="s">
        <v>38</v>
      </c>
      <c r="E962" s="788"/>
      <c r="F962" s="52" t="s">
        <v>449</v>
      </c>
      <c r="G962" s="52" t="s">
        <v>448</v>
      </c>
      <c r="H962" s="53" t="s">
        <v>42</v>
      </c>
    </row>
    <row r="963" spans="2:8" ht="31.5" customHeight="1" x14ac:dyDescent="0.25">
      <c r="B963" s="789" t="s">
        <v>163</v>
      </c>
      <c r="C963" s="790"/>
      <c r="D963" s="791" t="s">
        <v>460</v>
      </c>
      <c r="E963" s="792"/>
      <c r="F963" s="82"/>
      <c r="G963" s="82"/>
      <c r="H963" s="83"/>
    </row>
    <row r="964" spans="2:8" x14ac:dyDescent="0.25">
      <c r="B964" s="760" t="s">
        <v>467</v>
      </c>
      <c r="C964" s="761"/>
      <c r="D964" s="798" t="s">
        <v>444</v>
      </c>
      <c r="E964" s="799"/>
      <c r="F964" s="27">
        <v>1</v>
      </c>
      <c r="G964" s="27">
        <v>116.42</v>
      </c>
      <c r="H964" s="27">
        <f>F964*G964</f>
        <v>116.42</v>
      </c>
    </row>
    <row r="965" spans="2:8" x14ac:dyDescent="0.25">
      <c r="B965" s="760" t="s">
        <v>468</v>
      </c>
      <c r="C965" s="761"/>
      <c r="D965" s="782" t="s">
        <v>445</v>
      </c>
      <c r="E965" s="783"/>
      <c r="F965" s="27">
        <v>1</v>
      </c>
      <c r="G965" s="27">
        <v>72.92</v>
      </c>
      <c r="H965" s="27">
        <f>F965*G965</f>
        <v>72.92</v>
      </c>
    </row>
    <row r="966" spans="2:8" x14ac:dyDescent="0.25">
      <c r="B966" s="760" t="s">
        <v>469</v>
      </c>
      <c r="C966" s="761"/>
      <c r="D966" s="782" t="s">
        <v>446</v>
      </c>
      <c r="E966" s="783"/>
      <c r="F966" s="27">
        <v>1</v>
      </c>
      <c r="G966" s="27">
        <v>5.62</v>
      </c>
      <c r="H966" s="27">
        <f t="shared" ref="H966:H968" si="2">F966*G966</f>
        <v>5.62</v>
      </c>
    </row>
    <row r="967" spans="2:8" x14ac:dyDescent="0.25">
      <c r="B967" s="760" t="s">
        <v>470</v>
      </c>
      <c r="C967" s="761"/>
      <c r="D967" s="782" t="s">
        <v>447</v>
      </c>
      <c r="E967" s="783"/>
      <c r="F967" s="27">
        <v>1</v>
      </c>
      <c r="G967" s="27">
        <v>2.14</v>
      </c>
      <c r="H967" s="27">
        <f t="shared" si="2"/>
        <v>2.14</v>
      </c>
    </row>
    <row r="968" spans="2:8" x14ac:dyDescent="0.25">
      <c r="B968" s="760" t="s">
        <v>471</v>
      </c>
      <c r="C968" s="761"/>
      <c r="D968" s="782" t="s">
        <v>450</v>
      </c>
      <c r="E968" s="783"/>
      <c r="F968" s="27">
        <v>1</v>
      </c>
      <c r="G968" s="27">
        <v>2.1</v>
      </c>
      <c r="H968" s="27">
        <f t="shared" si="2"/>
        <v>2.1</v>
      </c>
    </row>
    <row r="969" spans="2:8" x14ac:dyDescent="0.25">
      <c r="B969" s="760" t="s">
        <v>472</v>
      </c>
      <c r="C969" s="761"/>
      <c r="D969" s="780" t="s">
        <v>457</v>
      </c>
      <c r="E969" s="781"/>
      <c r="F969" s="27">
        <v>1</v>
      </c>
      <c r="G969" s="27">
        <v>3.4</v>
      </c>
      <c r="H969" s="27">
        <v>3.44</v>
      </c>
    </row>
    <row r="970" spans="2:8" ht="15.75" thickBot="1" x14ac:dyDescent="0.3">
      <c r="B970" s="64"/>
      <c r="C970" s="65"/>
      <c r="D970" s="784"/>
      <c r="E970" s="785"/>
      <c r="F970" s="92"/>
      <c r="G970" s="92"/>
      <c r="H970" s="93"/>
    </row>
    <row r="971" spans="2:8" ht="15.75" thickBot="1" x14ac:dyDescent="0.3">
      <c r="B971" s="772"/>
      <c r="C971" s="773"/>
      <c r="D971" s="754" t="s">
        <v>257</v>
      </c>
      <c r="E971" s="774"/>
      <c r="F971" s="191"/>
      <c r="G971" s="191"/>
      <c r="H971" s="56">
        <f>SUM(H964:H970)</f>
        <v>202.64</v>
      </c>
    </row>
    <row r="972" spans="2:8" ht="15.75" thickBot="1" x14ac:dyDescent="0.3">
      <c r="H972" s="408"/>
    </row>
    <row r="973" spans="2:8" ht="15.75" thickBot="1" x14ac:dyDescent="0.3">
      <c r="B973" s="663" t="s">
        <v>160</v>
      </c>
      <c r="C973" s="664"/>
      <c r="D973" s="667" t="str">
        <f>CENIK_št_1!B147</f>
        <v>OSTALA DELA</v>
      </c>
      <c r="E973" s="668"/>
      <c r="F973" s="668"/>
      <c r="G973" s="668"/>
      <c r="H973" s="669"/>
    </row>
    <row r="974" spans="2:8" ht="23.25" thickBot="1" x14ac:dyDescent="0.3">
      <c r="B974" s="755" t="s">
        <v>37</v>
      </c>
      <c r="C974" s="786"/>
      <c r="D974" s="787" t="s">
        <v>38</v>
      </c>
      <c r="E974" s="788"/>
      <c r="F974" s="52" t="s">
        <v>449</v>
      </c>
      <c r="G974" s="52" t="s">
        <v>448</v>
      </c>
      <c r="H974" s="53" t="s">
        <v>42</v>
      </c>
    </row>
    <row r="975" spans="2:8" ht="27" customHeight="1" x14ac:dyDescent="0.25">
      <c r="B975" s="789" t="s">
        <v>188</v>
      </c>
      <c r="C975" s="790"/>
      <c r="D975" s="791" t="s">
        <v>461</v>
      </c>
      <c r="E975" s="792"/>
      <c r="F975" s="82"/>
      <c r="G975" s="82"/>
      <c r="H975" s="83"/>
    </row>
    <row r="976" spans="2:8" ht="30" customHeight="1" x14ac:dyDescent="0.25">
      <c r="B976" s="760" t="s">
        <v>451</v>
      </c>
      <c r="C976" s="761"/>
      <c r="D976" s="798" t="s">
        <v>444</v>
      </c>
      <c r="E976" s="799"/>
      <c r="F976" s="27">
        <v>1</v>
      </c>
      <c r="G976" s="27">
        <v>116.42</v>
      </c>
      <c r="H976" s="27">
        <f>F976*G976</f>
        <v>116.42</v>
      </c>
    </row>
    <row r="977" spans="2:8" x14ac:dyDescent="0.25">
      <c r="B977" s="760" t="s">
        <v>462</v>
      </c>
      <c r="C977" s="761"/>
      <c r="D977" s="782" t="s">
        <v>445</v>
      </c>
      <c r="E977" s="783"/>
      <c r="F977" s="27">
        <v>1</v>
      </c>
      <c r="G977" s="27">
        <v>22.4</v>
      </c>
      <c r="H977" s="27">
        <f>F977*G977</f>
        <v>22.4</v>
      </c>
    </row>
    <row r="978" spans="2:8" x14ac:dyDescent="0.25">
      <c r="B978" s="760" t="s">
        <v>463</v>
      </c>
      <c r="C978" s="761"/>
      <c r="D978" s="782" t="s">
        <v>446</v>
      </c>
      <c r="E978" s="783"/>
      <c r="F978" s="27">
        <v>1</v>
      </c>
      <c r="G978" s="27">
        <v>11.95</v>
      </c>
      <c r="H978" s="27">
        <f t="shared" ref="H978:H981" si="3">F978*G978</f>
        <v>11.95</v>
      </c>
    </row>
    <row r="979" spans="2:8" ht="27.75" customHeight="1" x14ac:dyDescent="0.25">
      <c r="B979" s="760" t="s">
        <v>464</v>
      </c>
      <c r="C979" s="761"/>
      <c r="D979" s="782" t="s">
        <v>447</v>
      </c>
      <c r="E979" s="783"/>
      <c r="F979" s="27">
        <v>1</v>
      </c>
      <c r="G979" s="27">
        <v>12.44</v>
      </c>
      <c r="H979" s="27">
        <f t="shared" si="3"/>
        <v>12.44</v>
      </c>
    </row>
    <row r="980" spans="2:8" x14ac:dyDescent="0.25">
      <c r="B980" s="760" t="s">
        <v>465</v>
      </c>
      <c r="C980" s="761"/>
      <c r="D980" s="782" t="s">
        <v>450</v>
      </c>
      <c r="E980" s="783"/>
      <c r="F980" s="27">
        <v>1</v>
      </c>
      <c r="G980" s="27">
        <v>5.82</v>
      </c>
      <c r="H980" s="27">
        <f t="shared" si="3"/>
        <v>5.82</v>
      </c>
    </row>
    <row r="981" spans="2:8" x14ac:dyDescent="0.25">
      <c r="B981" s="760" t="s">
        <v>466</v>
      </c>
      <c r="C981" s="761"/>
      <c r="D981" s="780" t="s">
        <v>457</v>
      </c>
      <c r="E981" s="781"/>
      <c r="F981" s="27">
        <v>1</v>
      </c>
      <c r="G981" s="27">
        <v>16.78</v>
      </c>
      <c r="H981" s="27">
        <f t="shared" si="3"/>
        <v>16.78</v>
      </c>
    </row>
    <row r="982" spans="2:8" ht="15.75" thickBot="1" x14ac:dyDescent="0.3">
      <c r="B982" s="64"/>
      <c r="C982" s="65"/>
      <c r="D982" s="784"/>
      <c r="E982" s="785"/>
      <c r="F982" s="92"/>
      <c r="G982" s="92"/>
      <c r="H982" s="93"/>
    </row>
    <row r="983" spans="2:8" ht="15.75" thickBot="1" x14ac:dyDescent="0.3">
      <c r="B983" s="772"/>
      <c r="C983" s="773"/>
      <c r="D983" s="754" t="s">
        <v>257</v>
      </c>
      <c r="E983" s="774"/>
      <c r="F983" s="191"/>
      <c r="G983" s="191"/>
      <c r="H983" s="56">
        <f>SUM(H976:H982)</f>
        <v>185.80999999999997</v>
      </c>
    </row>
    <row r="984" spans="2:8" ht="15.75" thickBot="1" x14ac:dyDescent="0.3"/>
    <row r="985" spans="2:8" ht="15.75" thickBot="1" x14ac:dyDescent="0.3">
      <c r="B985" s="663" t="s">
        <v>160</v>
      </c>
      <c r="C985" s="664"/>
      <c r="D985" s="667" t="str">
        <f>CENIK_št_1!B147</f>
        <v>OSTALA DELA</v>
      </c>
      <c r="E985" s="668"/>
      <c r="F985" s="668"/>
      <c r="G985" s="668"/>
      <c r="H985" s="669"/>
    </row>
    <row r="986" spans="2:8" ht="23.25" thickBot="1" x14ac:dyDescent="0.3">
      <c r="B986" s="755" t="s">
        <v>37</v>
      </c>
      <c r="C986" s="786"/>
      <c r="D986" s="787" t="s">
        <v>38</v>
      </c>
      <c r="E986" s="788"/>
      <c r="F986" s="52" t="s">
        <v>449</v>
      </c>
      <c r="G986" s="52" t="s">
        <v>448</v>
      </c>
      <c r="H986" s="53" t="s">
        <v>42</v>
      </c>
    </row>
    <row r="987" spans="2:8" ht="27" customHeight="1" x14ac:dyDescent="0.25">
      <c r="B987" s="789" t="s">
        <v>189</v>
      </c>
      <c r="C987" s="790"/>
      <c r="D987" s="791" t="s">
        <v>473</v>
      </c>
      <c r="E987" s="792"/>
      <c r="F987" s="82"/>
      <c r="G987" s="82"/>
      <c r="H987" s="83"/>
    </row>
    <row r="988" spans="2:8" ht="26.25" customHeight="1" x14ac:dyDescent="0.25">
      <c r="B988" s="760" t="s">
        <v>451</v>
      </c>
      <c r="C988" s="761"/>
      <c r="D988" s="798" t="s">
        <v>474</v>
      </c>
      <c r="E988" s="799"/>
      <c r="F988" s="27">
        <v>1</v>
      </c>
      <c r="G988" s="27">
        <v>23.67</v>
      </c>
      <c r="H988" s="27">
        <f>F988*G988</f>
        <v>23.67</v>
      </c>
    </row>
    <row r="989" spans="2:8" x14ac:dyDescent="0.25">
      <c r="B989" s="760" t="s">
        <v>462</v>
      </c>
      <c r="C989" s="761"/>
      <c r="D989" s="782" t="s">
        <v>475</v>
      </c>
      <c r="E989" s="783"/>
      <c r="F989" s="27">
        <v>1</v>
      </c>
      <c r="G989" s="27">
        <v>25.5</v>
      </c>
      <c r="H989" s="27">
        <f>F989*G989</f>
        <v>25.5</v>
      </c>
    </row>
    <row r="990" spans="2:8" x14ac:dyDescent="0.25">
      <c r="B990" s="760" t="s">
        <v>463</v>
      </c>
      <c r="C990" s="761"/>
      <c r="D990" s="782" t="s">
        <v>446</v>
      </c>
      <c r="E990" s="783"/>
      <c r="F990" s="27">
        <v>1</v>
      </c>
      <c r="G990" s="27">
        <v>1.85</v>
      </c>
      <c r="H990" s="27">
        <f t="shared" ref="H990:H993" si="4">F990*G990</f>
        <v>1.85</v>
      </c>
    </row>
    <row r="991" spans="2:8" ht="25.5" customHeight="1" x14ac:dyDescent="0.25">
      <c r="B991" s="760" t="s">
        <v>464</v>
      </c>
      <c r="C991" s="761"/>
      <c r="D991" s="782" t="s">
        <v>476</v>
      </c>
      <c r="E991" s="783"/>
      <c r="F991" s="27">
        <v>1</v>
      </c>
      <c r="G991" s="27">
        <v>0.7</v>
      </c>
      <c r="H991" s="27">
        <f t="shared" si="4"/>
        <v>0.7</v>
      </c>
    </row>
    <row r="992" spans="2:8" x14ac:dyDescent="0.25">
      <c r="B992" s="760" t="s">
        <v>465</v>
      </c>
      <c r="C992" s="761"/>
      <c r="D992" s="782" t="s">
        <v>477</v>
      </c>
      <c r="E992" s="783"/>
      <c r="F992" s="27">
        <v>1</v>
      </c>
      <c r="G992" s="27">
        <v>0.69</v>
      </c>
      <c r="H992" s="27">
        <f t="shared" si="4"/>
        <v>0.69</v>
      </c>
    </row>
    <row r="993" spans="2:8" x14ac:dyDescent="0.25">
      <c r="B993" s="760" t="s">
        <v>466</v>
      </c>
      <c r="C993" s="761"/>
      <c r="D993" s="780" t="s">
        <v>478</v>
      </c>
      <c r="E993" s="781"/>
      <c r="F993" s="27">
        <v>1</v>
      </c>
      <c r="G993" s="27">
        <v>1.1299999999999999</v>
      </c>
      <c r="H993" s="27">
        <f t="shared" si="4"/>
        <v>1.1299999999999999</v>
      </c>
    </row>
    <row r="994" spans="2:8" ht="15.75" thickBot="1" x14ac:dyDescent="0.3">
      <c r="B994" s="64"/>
      <c r="C994" s="65"/>
      <c r="D994" s="784"/>
      <c r="E994" s="785"/>
      <c r="F994" s="92"/>
      <c r="G994" s="92"/>
      <c r="H994" s="93"/>
    </row>
    <row r="995" spans="2:8" ht="15.75" thickBot="1" x14ac:dyDescent="0.3">
      <c r="B995" s="772"/>
      <c r="C995" s="773"/>
      <c r="D995" s="754" t="s">
        <v>257</v>
      </c>
      <c r="E995" s="774"/>
      <c r="F995" s="191"/>
      <c r="G995" s="191"/>
      <c r="H995" s="56">
        <f>SUM(H988:H994)</f>
        <v>53.540000000000006</v>
      </c>
    </row>
    <row r="996" spans="2:8" ht="15.75" thickBot="1" x14ac:dyDescent="0.3"/>
    <row r="997" spans="2:8" ht="15.75" thickBot="1" x14ac:dyDescent="0.3">
      <c r="B997" s="663" t="s">
        <v>160</v>
      </c>
      <c r="C997" s="664"/>
      <c r="D997" s="667" t="str">
        <f>CENIK_št_1!B147</f>
        <v>OSTALA DELA</v>
      </c>
      <c r="E997" s="668"/>
      <c r="F997" s="668"/>
      <c r="G997" s="668"/>
      <c r="H997" s="669"/>
    </row>
    <row r="998" spans="2:8" ht="15.75" thickBot="1" x14ac:dyDescent="0.3">
      <c r="B998" s="755" t="s">
        <v>37</v>
      </c>
      <c r="C998" s="786"/>
      <c r="D998" s="787" t="s">
        <v>38</v>
      </c>
      <c r="E998" s="788"/>
      <c r="F998" s="52" t="s">
        <v>479</v>
      </c>
      <c r="G998" s="52" t="s">
        <v>448</v>
      </c>
      <c r="H998" s="53" t="s">
        <v>481</v>
      </c>
    </row>
    <row r="999" spans="2:8" ht="28.5" customHeight="1" x14ac:dyDescent="0.25">
      <c r="B999" s="789" t="s">
        <v>190</v>
      </c>
      <c r="C999" s="790"/>
      <c r="D999" s="791" t="s">
        <v>171</v>
      </c>
      <c r="E999" s="792"/>
      <c r="F999" s="82"/>
      <c r="G999" s="82"/>
      <c r="H999" s="83"/>
    </row>
    <row r="1000" spans="2:8" x14ac:dyDescent="0.25">
      <c r="B1000" s="760"/>
      <c r="C1000" s="761"/>
      <c r="D1000" s="782" t="s">
        <v>484</v>
      </c>
      <c r="E1000" s="783"/>
      <c r="F1000" s="27">
        <v>4850</v>
      </c>
      <c r="G1000" s="27">
        <v>1650</v>
      </c>
      <c r="H1000" s="31">
        <f>G1000/F1000</f>
        <v>0.34020618556701032</v>
      </c>
    </row>
    <row r="1001" spans="2:8" x14ac:dyDescent="0.25">
      <c r="B1001" s="64"/>
      <c r="C1001" s="65"/>
      <c r="D1001" s="410"/>
      <c r="E1001" s="411" t="s">
        <v>483</v>
      </c>
      <c r="F1001" s="27">
        <v>30</v>
      </c>
      <c r="G1001" s="27"/>
      <c r="H1001" s="31">
        <f>H1000/F1001</f>
        <v>1.134020618556701E-2</v>
      </c>
    </row>
    <row r="1002" spans="2:8" x14ac:dyDescent="0.25">
      <c r="B1002" s="64"/>
      <c r="C1002" s="65"/>
      <c r="D1002" s="410"/>
      <c r="E1002" s="411" t="s">
        <v>482</v>
      </c>
      <c r="F1002" s="27">
        <v>12.5</v>
      </c>
      <c r="G1002" s="27"/>
      <c r="H1002" s="27">
        <f>H1001*F1002</f>
        <v>0.14175257731958762</v>
      </c>
    </row>
    <row r="1003" spans="2:8" x14ac:dyDescent="0.25">
      <c r="B1003" s="760"/>
      <c r="C1003" s="761"/>
      <c r="D1003" s="796" t="s">
        <v>485</v>
      </c>
      <c r="E1003" s="797"/>
      <c r="F1003" s="27"/>
      <c r="G1003" s="27"/>
      <c r="H1003" s="27"/>
    </row>
    <row r="1004" spans="2:8" ht="27" customHeight="1" x14ac:dyDescent="0.25">
      <c r="B1004" s="760"/>
      <c r="C1004" s="761"/>
      <c r="D1004" s="782" t="str">
        <f>CENIK_št_1!B34</f>
        <v>Strokovna dela (nadzor, vodenje, pregledi objektov, izdelava poročil, izvedbeni načrti)</v>
      </c>
      <c r="E1004" s="783"/>
      <c r="F1004" s="27">
        <v>2</v>
      </c>
      <c r="G1004" s="27">
        <f>CENIK_št_1!K34</f>
        <v>29.565151586588335</v>
      </c>
      <c r="H1004" s="27">
        <f>F1004*G1004</f>
        <v>59.130303173176671</v>
      </c>
    </row>
    <row r="1005" spans="2:8" ht="27" customHeight="1" x14ac:dyDescent="0.25">
      <c r="B1005" s="64"/>
      <c r="C1005" s="65"/>
      <c r="D1005" s="782" t="str">
        <f>CENIK_št_1!B33</f>
        <v>Delovodja, Skupinovodja, Preglednik, Dispečer, Voznik, Strojnik</v>
      </c>
      <c r="E1005" s="783"/>
      <c r="F1005" s="27">
        <v>2</v>
      </c>
      <c r="G1005" s="27">
        <f>CENIK_št_1!K33</f>
        <v>21.016080827612811</v>
      </c>
      <c r="H1005" s="27">
        <f>F1005*G1005</f>
        <v>42.032161655225622</v>
      </c>
    </row>
    <row r="1006" spans="2:8" x14ac:dyDescent="0.25">
      <c r="B1006" s="760"/>
      <c r="C1006" s="761"/>
      <c r="D1006" s="782" t="s">
        <v>483</v>
      </c>
      <c r="E1006" s="783"/>
      <c r="F1006" s="27">
        <v>30</v>
      </c>
      <c r="G1006" s="27"/>
      <c r="H1006" s="27">
        <f>(H1004+H1005)/F1006</f>
        <v>3.3720821609467433</v>
      </c>
    </row>
    <row r="1007" spans="2:8" x14ac:dyDescent="0.25">
      <c r="B1007" s="760"/>
      <c r="C1007" s="761"/>
      <c r="D1007" s="782"/>
      <c r="E1007" s="783"/>
      <c r="F1007" s="27"/>
      <c r="G1007" s="27"/>
      <c r="H1007" s="27"/>
    </row>
    <row r="1008" spans="2:8" x14ac:dyDescent="0.25">
      <c r="B1008" s="760"/>
      <c r="C1008" s="761"/>
      <c r="D1008" s="780"/>
      <c r="E1008" s="781"/>
      <c r="F1008" s="27"/>
      <c r="G1008" s="27"/>
      <c r="H1008" s="27"/>
    </row>
    <row r="1009" spans="2:16" ht="15.75" thickBot="1" x14ac:dyDescent="0.3">
      <c r="B1009" s="64"/>
      <c r="C1009" s="65"/>
      <c r="D1009" s="784"/>
      <c r="E1009" s="785"/>
      <c r="F1009" s="92"/>
      <c r="G1009" s="92"/>
      <c r="H1009" s="93"/>
    </row>
    <row r="1010" spans="2:16" ht="15.75" thickBot="1" x14ac:dyDescent="0.3">
      <c r="B1010" s="772"/>
      <c r="C1010" s="773"/>
      <c r="D1010" s="754" t="s">
        <v>480</v>
      </c>
      <c r="E1010" s="774"/>
      <c r="F1010" s="409">
        <v>12.5</v>
      </c>
      <c r="G1010" s="191"/>
      <c r="H1010" s="56">
        <f>H1002+H1006</f>
        <v>3.5138347382663309</v>
      </c>
    </row>
    <row r="1014" spans="2:16" ht="23.25" customHeight="1" x14ac:dyDescent="0.25">
      <c r="P1014" s="276"/>
    </row>
    <row r="1015" spans="2:16" ht="27.75" customHeight="1" x14ac:dyDescent="0.25"/>
    <row r="1016" spans="2:16" x14ac:dyDescent="0.25">
      <c r="P1016" s="433"/>
    </row>
  </sheetData>
  <sheetProtection selectLockedCells="1" selectUnlockedCells="1"/>
  <mergeCells count="1465">
    <mergeCell ref="D868:E868"/>
    <mergeCell ref="D907:E907"/>
    <mergeCell ref="D908:E908"/>
    <mergeCell ref="D911:E911"/>
    <mergeCell ref="D933:E933"/>
    <mergeCell ref="D929:E929"/>
    <mergeCell ref="D930:E930"/>
    <mergeCell ref="D931:E931"/>
    <mergeCell ref="D920:E920"/>
    <mergeCell ref="D921:E921"/>
    <mergeCell ref="B928:C928"/>
    <mergeCell ref="B929:C929"/>
    <mergeCell ref="D932:E932"/>
    <mergeCell ref="B923:C923"/>
    <mergeCell ref="B926:C926"/>
    <mergeCell ref="B916:C916"/>
    <mergeCell ref="B917:C917"/>
    <mergeCell ref="D917:E917"/>
    <mergeCell ref="D918:E918"/>
    <mergeCell ref="D919:E919"/>
    <mergeCell ref="D922:E922"/>
    <mergeCell ref="D923:E923"/>
    <mergeCell ref="B896:C896"/>
    <mergeCell ref="B897:C897"/>
    <mergeCell ref="D897:E897"/>
    <mergeCell ref="B898:C898"/>
    <mergeCell ref="D898:E898"/>
    <mergeCell ref="D899:E899"/>
    <mergeCell ref="D900:E900"/>
    <mergeCell ref="D901:E901"/>
    <mergeCell ref="D902:E902"/>
    <mergeCell ref="D903:E903"/>
    <mergeCell ref="D904:E904"/>
    <mergeCell ref="D905:E905"/>
    <mergeCell ref="D906:E906"/>
    <mergeCell ref="B833:C833"/>
    <mergeCell ref="D833:J833"/>
    <mergeCell ref="B834:C834"/>
    <mergeCell ref="D834:E834"/>
    <mergeCell ref="B835:C835"/>
    <mergeCell ref="D835:E835"/>
    <mergeCell ref="B836:C836"/>
    <mergeCell ref="D836:E836"/>
    <mergeCell ref="D837:E837"/>
    <mergeCell ref="D838:E838"/>
    <mergeCell ref="D839:E839"/>
    <mergeCell ref="D840:E840"/>
    <mergeCell ref="B841:C841"/>
    <mergeCell ref="D841:E841"/>
    <mergeCell ref="D892:E892"/>
    <mergeCell ref="B856:C856"/>
    <mergeCell ref="D856:E856"/>
    <mergeCell ref="D857:E857"/>
    <mergeCell ref="D858:E858"/>
    <mergeCell ref="D859:E859"/>
    <mergeCell ref="D860:E860"/>
    <mergeCell ref="D861:E861"/>
    <mergeCell ref="B875:C875"/>
    <mergeCell ref="B876:C876"/>
    <mergeCell ref="D876:E876"/>
    <mergeCell ref="B877:C877"/>
    <mergeCell ref="D888:E888"/>
    <mergeCell ref="B865:C865"/>
    <mergeCell ref="D865:E865"/>
    <mergeCell ref="B830:C830"/>
    <mergeCell ref="B813:C813"/>
    <mergeCell ref="D813:E813"/>
    <mergeCell ref="B814:C814"/>
    <mergeCell ref="D814:E814"/>
    <mergeCell ref="B815:C815"/>
    <mergeCell ref="D815:E815"/>
    <mergeCell ref="D816:E816"/>
    <mergeCell ref="D818:E818"/>
    <mergeCell ref="D819:E819"/>
    <mergeCell ref="B820:C820"/>
    <mergeCell ref="D820:E820"/>
    <mergeCell ref="B864:C864"/>
    <mergeCell ref="D848:E848"/>
    <mergeCell ref="D849:E849"/>
    <mergeCell ref="D850:E850"/>
    <mergeCell ref="B851:C851"/>
    <mergeCell ref="D851:E851"/>
    <mergeCell ref="B854:C854"/>
    <mergeCell ref="B855:C855"/>
    <mergeCell ref="D855:E855"/>
    <mergeCell ref="B846:C846"/>
    <mergeCell ref="D817:E817"/>
    <mergeCell ref="D847:E847"/>
    <mergeCell ref="B845:C845"/>
    <mergeCell ref="D845:E845"/>
    <mergeCell ref="D759:E759"/>
    <mergeCell ref="D760:E760"/>
    <mergeCell ref="D761:E761"/>
    <mergeCell ref="D762:E762"/>
    <mergeCell ref="D763:E763"/>
    <mergeCell ref="D764:E764"/>
    <mergeCell ref="B800:C800"/>
    <mergeCell ref="D800:J800"/>
    <mergeCell ref="B801:C801"/>
    <mergeCell ref="D801:E801"/>
    <mergeCell ref="B802:C802"/>
    <mergeCell ref="D802:E802"/>
    <mergeCell ref="D769:E769"/>
    <mergeCell ref="D770:E770"/>
    <mergeCell ref="D771:E771"/>
    <mergeCell ref="B772:C772"/>
    <mergeCell ref="D772:E772"/>
    <mergeCell ref="B773:C773"/>
    <mergeCell ref="D773:E773"/>
    <mergeCell ref="B774:C774"/>
    <mergeCell ref="D774:E774"/>
    <mergeCell ref="B775:C775"/>
    <mergeCell ref="D775:E775"/>
    <mergeCell ref="B790:C790"/>
    <mergeCell ref="D790:E790"/>
    <mergeCell ref="C788:H788"/>
    <mergeCell ref="B789:C789"/>
    <mergeCell ref="D789:E789"/>
    <mergeCell ref="D436:E436"/>
    <mergeCell ref="B437:C437"/>
    <mergeCell ref="D437:E437"/>
    <mergeCell ref="D549:E549"/>
    <mergeCell ref="D550:E550"/>
    <mergeCell ref="B551:C551"/>
    <mergeCell ref="B516:C516"/>
    <mergeCell ref="D516:E516"/>
    <mergeCell ref="B517:C517"/>
    <mergeCell ref="D551:E551"/>
    <mergeCell ref="C559:I559"/>
    <mergeCell ref="B560:C560"/>
    <mergeCell ref="B726:C726"/>
    <mergeCell ref="D726:E726"/>
    <mergeCell ref="D723:E723"/>
    <mergeCell ref="B723:C723"/>
    <mergeCell ref="C725:H725"/>
    <mergeCell ref="D719:E719"/>
    <mergeCell ref="B720:C720"/>
    <mergeCell ref="D720:E720"/>
    <mergeCell ref="B721:C721"/>
    <mergeCell ref="D715:E715"/>
    <mergeCell ref="B716:C716"/>
    <mergeCell ref="D716:E716"/>
    <mergeCell ref="D676:E676"/>
    <mergeCell ref="B677:C677"/>
    <mergeCell ref="D677:E677"/>
    <mergeCell ref="B678:C678"/>
    <mergeCell ref="D678:E678"/>
    <mergeCell ref="B679:C679"/>
    <mergeCell ref="D679:E679"/>
    <mergeCell ref="D717:E717"/>
    <mergeCell ref="B391:C391"/>
    <mergeCell ref="D386:E386"/>
    <mergeCell ref="C395:I395"/>
    <mergeCell ref="B396:C396"/>
    <mergeCell ref="D396:E396"/>
    <mergeCell ref="B409:C409"/>
    <mergeCell ref="D409:E409"/>
    <mergeCell ref="B401:C401"/>
    <mergeCell ref="D401:E401"/>
    <mergeCell ref="B402:C402"/>
    <mergeCell ref="D402:E402"/>
    <mergeCell ref="B403:C403"/>
    <mergeCell ref="C408:I408"/>
    <mergeCell ref="B404:C404"/>
    <mergeCell ref="D404:E404"/>
    <mergeCell ref="B405:C405"/>
    <mergeCell ref="D405:E405"/>
    <mergeCell ref="B406:C406"/>
    <mergeCell ref="D406:E406"/>
    <mergeCell ref="D373:E373"/>
    <mergeCell ref="B374:C374"/>
    <mergeCell ref="D374:E374"/>
    <mergeCell ref="B375:C375"/>
    <mergeCell ref="D375:E375"/>
    <mergeCell ref="D391:E391"/>
    <mergeCell ref="D425:E425"/>
    <mergeCell ref="C422:H422"/>
    <mergeCell ref="D482:E482"/>
    <mergeCell ref="B427:C427"/>
    <mergeCell ref="B388:C388"/>
    <mergeCell ref="D388:E388"/>
    <mergeCell ref="B389:C389"/>
    <mergeCell ref="D389:E389"/>
    <mergeCell ref="B390:C390"/>
    <mergeCell ref="D383:E383"/>
    <mergeCell ref="D384:E384"/>
    <mergeCell ref="D385:E385"/>
    <mergeCell ref="B386:C386"/>
    <mergeCell ref="D452:E452"/>
    <mergeCell ref="B453:C453"/>
    <mergeCell ref="D453:E453"/>
    <mergeCell ref="C381:I381"/>
    <mergeCell ref="C466:H466"/>
    <mergeCell ref="B467:C467"/>
    <mergeCell ref="D467:E467"/>
    <mergeCell ref="B468:C468"/>
    <mergeCell ref="D468:E468"/>
    <mergeCell ref="D427:E427"/>
    <mergeCell ref="B382:C382"/>
    <mergeCell ref="D382:E382"/>
    <mergeCell ref="B383:C383"/>
    <mergeCell ref="B428:C428"/>
    <mergeCell ref="D428:E428"/>
    <mergeCell ref="B423:C423"/>
    <mergeCell ref="D343:E343"/>
    <mergeCell ref="D344:E344"/>
    <mergeCell ref="D345:E345"/>
    <mergeCell ref="B346:C346"/>
    <mergeCell ref="D346:E346"/>
    <mergeCell ref="B347:C347"/>
    <mergeCell ref="D347:E347"/>
    <mergeCell ref="B348:C348"/>
    <mergeCell ref="D348:E348"/>
    <mergeCell ref="B349:C349"/>
    <mergeCell ref="D349:E349"/>
    <mergeCell ref="B350:C350"/>
    <mergeCell ref="D350:E350"/>
    <mergeCell ref="B351:C351"/>
    <mergeCell ref="D351:E351"/>
    <mergeCell ref="B352:C352"/>
    <mergeCell ref="D352:E352"/>
    <mergeCell ref="B376:C376"/>
    <mergeCell ref="D376:E376"/>
    <mergeCell ref="B377:C377"/>
    <mergeCell ref="D377:E377"/>
    <mergeCell ref="C368:I368"/>
    <mergeCell ref="B369:C369"/>
    <mergeCell ref="D369:E369"/>
    <mergeCell ref="B370:C370"/>
    <mergeCell ref="D370:E370"/>
    <mergeCell ref="D371:E371"/>
    <mergeCell ref="D372:E372"/>
    <mergeCell ref="B373:C373"/>
    <mergeCell ref="B146:C146"/>
    <mergeCell ref="B163:C163"/>
    <mergeCell ref="D163:E163"/>
    <mergeCell ref="B164:C164"/>
    <mergeCell ref="B162:C162"/>
    <mergeCell ref="D154:E154"/>
    <mergeCell ref="B155:C155"/>
    <mergeCell ref="D155:E155"/>
    <mergeCell ref="D156:E156"/>
    <mergeCell ref="D164:E164"/>
    <mergeCell ref="B323:C323"/>
    <mergeCell ref="D323:E323"/>
    <mergeCell ref="D175:E175"/>
    <mergeCell ref="B320:C320"/>
    <mergeCell ref="D320:E320"/>
    <mergeCell ref="B321:C321"/>
    <mergeCell ref="B339:C339"/>
    <mergeCell ref="D339:E339"/>
    <mergeCell ref="D332:E332"/>
    <mergeCell ref="B333:C333"/>
    <mergeCell ref="D333:E333"/>
    <mergeCell ref="D162:E162"/>
    <mergeCell ref="B316:C316"/>
    <mergeCell ref="D316:E316"/>
    <mergeCell ref="D160:E160"/>
    <mergeCell ref="B161:C161"/>
    <mergeCell ref="D161:E161"/>
    <mergeCell ref="B206:C206"/>
    <mergeCell ref="D206:E206"/>
    <mergeCell ref="B207:C207"/>
    <mergeCell ref="D207:E207"/>
    <mergeCell ref="C209:I209"/>
    <mergeCell ref="D93:H93"/>
    <mergeCell ref="D109:E109"/>
    <mergeCell ref="B110:C110"/>
    <mergeCell ref="D110:E110"/>
    <mergeCell ref="B111:C111"/>
    <mergeCell ref="D111:E111"/>
    <mergeCell ref="B107:C107"/>
    <mergeCell ref="D107:E107"/>
    <mergeCell ref="D108:E108"/>
    <mergeCell ref="B108:C108"/>
    <mergeCell ref="B93:C93"/>
    <mergeCell ref="D158:E158"/>
    <mergeCell ref="B102:C102"/>
    <mergeCell ref="D102:E102"/>
    <mergeCell ref="B103:C103"/>
    <mergeCell ref="C315:I315"/>
    <mergeCell ref="D117:H117"/>
    <mergeCell ref="B94:C94"/>
    <mergeCell ref="D94:H94"/>
    <mergeCell ref="B95:C95"/>
    <mergeCell ref="D95:E95"/>
    <mergeCell ref="D99:E99"/>
    <mergeCell ref="B98:C98"/>
    <mergeCell ref="D98:E98"/>
    <mergeCell ref="B100:C100"/>
    <mergeCell ref="B96:C96"/>
    <mergeCell ref="D96:E96"/>
    <mergeCell ref="D97:E97"/>
    <mergeCell ref="D100:E100"/>
    <mergeCell ref="B101:C101"/>
    <mergeCell ref="B160:C160"/>
    <mergeCell ref="B141:C141"/>
    <mergeCell ref="D113:E113"/>
    <mergeCell ref="B119:C119"/>
    <mergeCell ref="B122:C122"/>
    <mergeCell ref="B130:C130"/>
    <mergeCell ref="D130:E130"/>
    <mergeCell ref="D129:E129"/>
    <mergeCell ref="B127:C127"/>
    <mergeCell ref="D127:E127"/>
    <mergeCell ref="D122:E122"/>
    <mergeCell ref="D128:E128"/>
    <mergeCell ref="B317:C317"/>
    <mergeCell ref="D317:E317"/>
    <mergeCell ref="B131:C131"/>
    <mergeCell ref="D131:E131"/>
    <mergeCell ref="D157:E157"/>
    <mergeCell ref="B158:C158"/>
    <mergeCell ref="C153:I153"/>
    <mergeCell ref="D141:E141"/>
    <mergeCell ref="D142:E142"/>
    <mergeCell ref="D143:E143"/>
    <mergeCell ref="B144:C144"/>
    <mergeCell ref="D144:E144"/>
    <mergeCell ref="C139:I139"/>
    <mergeCell ref="D146:E146"/>
    <mergeCell ref="B147:C147"/>
    <mergeCell ref="D147:E147"/>
    <mergeCell ref="B148:C148"/>
    <mergeCell ref="D148:E148"/>
    <mergeCell ref="B149:C149"/>
    <mergeCell ref="D149:E149"/>
    <mergeCell ref="B145:C145"/>
    <mergeCell ref="D145:E145"/>
    <mergeCell ref="B114:C114"/>
    <mergeCell ref="B126:C126"/>
    <mergeCell ref="D126:E126"/>
    <mergeCell ref="D114:E114"/>
    <mergeCell ref="B117:C117"/>
    <mergeCell ref="D119:E119"/>
    <mergeCell ref="B118:C118"/>
    <mergeCell ref="D118:E118"/>
    <mergeCell ref="D120:E120"/>
    <mergeCell ref="D121:E121"/>
    <mergeCell ref="B120:C120"/>
    <mergeCell ref="D101:E101"/>
    <mergeCell ref="C125:I125"/>
    <mergeCell ref="D133:E133"/>
    <mergeCell ref="B105:C105"/>
    <mergeCell ref="D105:H105"/>
    <mergeCell ref="D140:E140"/>
    <mergeCell ref="B135:C135"/>
    <mergeCell ref="D135:E135"/>
    <mergeCell ref="B140:C140"/>
    <mergeCell ref="B136:C136"/>
    <mergeCell ref="D136:E136"/>
    <mergeCell ref="B134:C134"/>
    <mergeCell ref="D134:E134"/>
    <mergeCell ref="B132:C132"/>
    <mergeCell ref="D132:E132"/>
    <mergeCell ref="D103:E103"/>
    <mergeCell ref="D112:E112"/>
    <mergeCell ref="B106:C106"/>
    <mergeCell ref="D106:E106"/>
    <mergeCell ref="B133:C133"/>
    <mergeCell ref="B113:C113"/>
    <mergeCell ref="B150:C150"/>
    <mergeCell ref="D150:E150"/>
    <mergeCell ref="C196:I196"/>
    <mergeCell ref="B197:C197"/>
    <mergeCell ref="D197:E197"/>
    <mergeCell ref="B198:C198"/>
    <mergeCell ref="D198:E198"/>
    <mergeCell ref="D199:E199"/>
    <mergeCell ref="D200:E200"/>
    <mergeCell ref="B168:C168"/>
    <mergeCell ref="D168:E168"/>
    <mergeCell ref="B176:C176"/>
    <mergeCell ref="D176:E176"/>
    <mergeCell ref="B177:C177"/>
    <mergeCell ref="D177:E177"/>
    <mergeCell ref="B178:C178"/>
    <mergeCell ref="D178:E178"/>
    <mergeCell ref="B154:C154"/>
    <mergeCell ref="B169:C169"/>
    <mergeCell ref="D169:E169"/>
    <mergeCell ref="D170:E170"/>
    <mergeCell ref="D171:E171"/>
    <mergeCell ref="B172:C172"/>
    <mergeCell ref="D172:E172"/>
    <mergeCell ref="B173:C173"/>
    <mergeCell ref="D173:E173"/>
    <mergeCell ref="B174:C174"/>
    <mergeCell ref="D174:E174"/>
    <mergeCell ref="C167:I167"/>
    <mergeCell ref="B159:C159"/>
    <mergeCell ref="D159:E159"/>
    <mergeCell ref="B175:C175"/>
    <mergeCell ref="D210:E210"/>
    <mergeCell ref="B211:C211"/>
    <mergeCell ref="D211:E211"/>
    <mergeCell ref="B201:C201"/>
    <mergeCell ref="D201:E201"/>
    <mergeCell ref="B202:C202"/>
    <mergeCell ref="D202:E202"/>
    <mergeCell ref="B203:C203"/>
    <mergeCell ref="D203:E203"/>
    <mergeCell ref="B204:C204"/>
    <mergeCell ref="D204:E204"/>
    <mergeCell ref="B205:C205"/>
    <mergeCell ref="D205:E205"/>
    <mergeCell ref="B218:C218"/>
    <mergeCell ref="D218:E218"/>
    <mergeCell ref="B219:C219"/>
    <mergeCell ref="D219:E219"/>
    <mergeCell ref="B210:C210"/>
    <mergeCell ref="B220:C220"/>
    <mergeCell ref="D220:E220"/>
    <mergeCell ref="C222:I222"/>
    <mergeCell ref="B223:C223"/>
    <mergeCell ref="D223:E223"/>
    <mergeCell ref="D212:E212"/>
    <mergeCell ref="D213:E213"/>
    <mergeCell ref="B214:C214"/>
    <mergeCell ref="D214:E214"/>
    <mergeCell ref="B215:C215"/>
    <mergeCell ref="D215:E215"/>
    <mergeCell ref="B216:C216"/>
    <mergeCell ref="D216:E216"/>
    <mergeCell ref="B217:C217"/>
    <mergeCell ref="D217:E217"/>
    <mergeCell ref="B230:C230"/>
    <mergeCell ref="D230:E230"/>
    <mergeCell ref="B231:C231"/>
    <mergeCell ref="D231:E231"/>
    <mergeCell ref="B232:C232"/>
    <mergeCell ref="D232:E232"/>
    <mergeCell ref="B233:C233"/>
    <mergeCell ref="D233:E233"/>
    <mergeCell ref="C236:I236"/>
    <mergeCell ref="B224:C224"/>
    <mergeCell ref="D224:E224"/>
    <mergeCell ref="D225:E225"/>
    <mergeCell ref="D226:E226"/>
    <mergeCell ref="B227:C227"/>
    <mergeCell ref="D227:E227"/>
    <mergeCell ref="B228:C228"/>
    <mergeCell ref="D228:E228"/>
    <mergeCell ref="B229:C229"/>
    <mergeCell ref="D229:E229"/>
    <mergeCell ref="D251:E251"/>
    <mergeCell ref="D252:E252"/>
    <mergeCell ref="D253:E253"/>
    <mergeCell ref="B254:C254"/>
    <mergeCell ref="D254:E254"/>
    <mergeCell ref="B243:C243"/>
    <mergeCell ref="D243:E243"/>
    <mergeCell ref="B244:C244"/>
    <mergeCell ref="D244:E244"/>
    <mergeCell ref="B245:C245"/>
    <mergeCell ref="D245:E245"/>
    <mergeCell ref="B246:C246"/>
    <mergeCell ref="D246:E246"/>
    <mergeCell ref="B247:C247"/>
    <mergeCell ref="D247:E247"/>
    <mergeCell ref="B237:C237"/>
    <mergeCell ref="D237:E237"/>
    <mergeCell ref="B238:C238"/>
    <mergeCell ref="D238:E238"/>
    <mergeCell ref="D239:E239"/>
    <mergeCell ref="D240:E240"/>
    <mergeCell ref="B241:C241"/>
    <mergeCell ref="D241:E241"/>
    <mergeCell ref="B242:C242"/>
    <mergeCell ref="D242:E242"/>
    <mergeCell ref="B293:C293"/>
    <mergeCell ref="D293:E293"/>
    <mergeCell ref="B294:C294"/>
    <mergeCell ref="D294:E294"/>
    <mergeCell ref="B295:C295"/>
    <mergeCell ref="D295:E295"/>
    <mergeCell ref="B296:C296"/>
    <mergeCell ref="D296:E296"/>
    <mergeCell ref="B297:C297"/>
    <mergeCell ref="D297:E297"/>
    <mergeCell ref="B260:C260"/>
    <mergeCell ref="D260:E260"/>
    <mergeCell ref="C288:I288"/>
    <mergeCell ref="B289:C289"/>
    <mergeCell ref="D289:E289"/>
    <mergeCell ref="B290:C290"/>
    <mergeCell ref="D290:E290"/>
    <mergeCell ref="D291:E291"/>
    <mergeCell ref="D292:E292"/>
    <mergeCell ref="C275:I275"/>
    <mergeCell ref="B276:C276"/>
    <mergeCell ref="D276:E276"/>
    <mergeCell ref="B277:C277"/>
    <mergeCell ref="D277:E277"/>
    <mergeCell ref="D278:E278"/>
    <mergeCell ref="D279:E279"/>
    <mergeCell ref="B280:C280"/>
    <mergeCell ref="D280:E280"/>
    <mergeCell ref="B281:C281"/>
    <mergeCell ref="D281:E281"/>
    <mergeCell ref="B282:C282"/>
    <mergeCell ref="D282:E282"/>
    <mergeCell ref="D304:E304"/>
    <mergeCell ref="D305:E305"/>
    <mergeCell ref="B306:C306"/>
    <mergeCell ref="D306:E306"/>
    <mergeCell ref="B307:C307"/>
    <mergeCell ref="D307:E307"/>
    <mergeCell ref="B308:C308"/>
    <mergeCell ref="D308:E308"/>
    <mergeCell ref="B309:C309"/>
    <mergeCell ref="D309:E309"/>
    <mergeCell ref="B329:C329"/>
    <mergeCell ref="D329:E329"/>
    <mergeCell ref="B330:C330"/>
    <mergeCell ref="D330:E330"/>
    <mergeCell ref="D331:E331"/>
    <mergeCell ref="D319:E319"/>
    <mergeCell ref="B298:C298"/>
    <mergeCell ref="D298:E298"/>
    <mergeCell ref="B299:C299"/>
    <mergeCell ref="D299:E299"/>
    <mergeCell ref="C301:I301"/>
    <mergeCell ref="B302:C302"/>
    <mergeCell ref="D302:E302"/>
    <mergeCell ref="B303:C303"/>
    <mergeCell ref="D303:E303"/>
    <mergeCell ref="D318:E318"/>
    <mergeCell ref="B324:C324"/>
    <mergeCell ref="D324:E324"/>
    <mergeCell ref="B325:C325"/>
    <mergeCell ref="D325:E325"/>
    <mergeCell ref="B326:C326"/>
    <mergeCell ref="D326:E326"/>
    <mergeCell ref="B310:C310"/>
    <mergeCell ref="D310:E310"/>
    <mergeCell ref="B311:C311"/>
    <mergeCell ref="D311:E311"/>
    <mergeCell ref="B312:C312"/>
    <mergeCell ref="D312:E312"/>
    <mergeCell ref="B334:C334"/>
    <mergeCell ref="D334:E334"/>
    <mergeCell ref="B335:C335"/>
    <mergeCell ref="D335:E335"/>
    <mergeCell ref="B336:C336"/>
    <mergeCell ref="D336:E336"/>
    <mergeCell ref="B337:C337"/>
    <mergeCell ref="D337:E337"/>
    <mergeCell ref="B338:C338"/>
    <mergeCell ref="D338:E338"/>
    <mergeCell ref="C328:I328"/>
    <mergeCell ref="C341:I341"/>
    <mergeCell ref="B342:C342"/>
    <mergeCell ref="D342:E342"/>
    <mergeCell ref="B343:C343"/>
    <mergeCell ref="D321:E321"/>
    <mergeCell ref="B322:C322"/>
    <mergeCell ref="D322:E322"/>
    <mergeCell ref="D459:E459"/>
    <mergeCell ref="D456:E456"/>
    <mergeCell ref="B457:C457"/>
    <mergeCell ref="D457:E457"/>
    <mergeCell ref="D458:E458"/>
    <mergeCell ref="B459:C459"/>
    <mergeCell ref="B462:C462"/>
    <mergeCell ref="C455:H455"/>
    <mergeCell ref="B460:C460"/>
    <mergeCell ref="D460:E460"/>
    <mergeCell ref="B461:C461"/>
    <mergeCell ref="D461:E461"/>
    <mergeCell ref="D462:E462"/>
    <mergeCell ref="B378:C378"/>
    <mergeCell ref="D378:E378"/>
    <mergeCell ref="B379:C379"/>
    <mergeCell ref="D379:E379"/>
    <mergeCell ref="D423:E423"/>
    <mergeCell ref="B424:C424"/>
    <mergeCell ref="D424:E424"/>
    <mergeCell ref="D390:E390"/>
    <mergeCell ref="B410:C410"/>
    <mergeCell ref="B387:C387"/>
    <mergeCell ref="D387:E387"/>
    <mergeCell ref="B435:C435"/>
    <mergeCell ref="D435:E435"/>
    <mergeCell ref="B416:C416"/>
    <mergeCell ref="D416:E416"/>
    <mergeCell ref="B417:C417"/>
    <mergeCell ref="D417:E417"/>
    <mergeCell ref="B418:C418"/>
    <mergeCell ref="D418:E418"/>
    <mergeCell ref="B419:C419"/>
    <mergeCell ref="D419:E419"/>
    <mergeCell ref="C433:H433"/>
    <mergeCell ref="B392:C392"/>
    <mergeCell ref="D392:E392"/>
    <mergeCell ref="B456:C456"/>
    <mergeCell ref="B434:C434"/>
    <mergeCell ref="D434:E434"/>
    <mergeCell ref="B397:C397"/>
    <mergeCell ref="D397:E397"/>
    <mergeCell ref="D398:E398"/>
    <mergeCell ref="D399:E399"/>
    <mergeCell ref="B400:C400"/>
    <mergeCell ref="D400:E400"/>
    <mergeCell ref="D411:E411"/>
    <mergeCell ref="D412:E412"/>
    <mergeCell ref="B413:C413"/>
    <mergeCell ref="D413:E413"/>
    <mergeCell ref="B414:C414"/>
    <mergeCell ref="D414:E414"/>
    <mergeCell ref="B415:C415"/>
    <mergeCell ref="D415:E415"/>
    <mergeCell ref="D410:E410"/>
    <mergeCell ref="B431:C431"/>
    <mergeCell ref="D431:E431"/>
    <mergeCell ref="B429:C429"/>
    <mergeCell ref="D429:E429"/>
    <mergeCell ref="B426:C426"/>
    <mergeCell ref="D426:E426"/>
    <mergeCell ref="B430:C430"/>
    <mergeCell ref="D430:E430"/>
    <mergeCell ref="D403:E403"/>
    <mergeCell ref="B440:C440"/>
    <mergeCell ref="D440:E440"/>
    <mergeCell ref="D497:E497"/>
    <mergeCell ref="B498:C498"/>
    <mergeCell ref="D498:E498"/>
    <mergeCell ref="B491:C491"/>
    <mergeCell ref="D491:E491"/>
    <mergeCell ref="D492:E492"/>
    <mergeCell ref="B493:C493"/>
    <mergeCell ref="D493:E493"/>
    <mergeCell ref="B494:C494"/>
    <mergeCell ref="D494:E494"/>
    <mergeCell ref="B438:C438"/>
    <mergeCell ref="D438:E438"/>
    <mergeCell ref="B439:C439"/>
    <mergeCell ref="D439:E439"/>
    <mergeCell ref="D480:E480"/>
    <mergeCell ref="D481:E481"/>
    <mergeCell ref="B482:C482"/>
    <mergeCell ref="B442:C442"/>
    <mergeCell ref="D442:E442"/>
    <mergeCell ref="C444:H444"/>
    <mergeCell ref="B445:C445"/>
    <mergeCell ref="D445:E445"/>
    <mergeCell ref="B446:C446"/>
    <mergeCell ref="D446:E446"/>
    <mergeCell ref="D447:E447"/>
    <mergeCell ref="B448:C448"/>
    <mergeCell ref="D448:E448"/>
    <mergeCell ref="B449:C449"/>
    <mergeCell ref="D449:E449"/>
    <mergeCell ref="B450:C450"/>
    <mergeCell ref="D450:E450"/>
    <mergeCell ref="B441:C441"/>
    <mergeCell ref="B508:C508"/>
    <mergeCell ref="D508:E508"/>
    <mergeCell ref="B509:C509"/>
    <mergeCell ref="D509:E509"/>
    <mergeCell ref="C511:H511"/>
    <mergeCell ref="B512:C512"/>
    <mergeCell ref="D512:E512"/>
    <mergeCell ref="B513:C513"/>
    <mergeCell ref="D513:E513"/>
    <mergeCell ref="D503:E503"/>
    <mergeCell ref="B504:C504"/>
    <mergeCell ref="D504:E504"/>
    <mergeCell ref="B505:C505"/>
    <mergeCell ref="D505:E505"/>
    <mergeCell ref="B506:C506"/>
    <mergeCell ref="D506:E506"/>
    <mergeCell ref="B507:C507"/>
    <mergeCell ref="D507:E507"/>
    <mergeCell ref="D441:E441"/>
    <mergeCell ref="B473:C473"/>
    <mergeCell ref="D473:E473"/>
    <mergeCell ref="B474:C474"/>
    <mergeCell ref="D474:E474"/>
    <mergeCell ref="B475:C475"/>
    <mergeCell ref="D475:E475"/>
    <mergeCell ref="C478:H478"/>
    <mergeCell ref="B451:C451"/>
    <mergeCell ref="D451:E451"/>
    <mergeCell ref="B452:C452"/>
    <mergeCell ref="B479:C479"/>
    <mergeCell ref="D469:E469"/>
    <mergeCell ref="B470:C470"/>
    <mergeCell ref="D470:E470"/>
    <mergeCell ref="B471:C471"/>
    <mergeCell ref="D471:E471"/>
    <mergeCell ref="B472:C472"/>
    <mergeCell ref="D472:E472"/>
    <mergeCell ref="B501:C501"/>
    <mergeCell ref="B519:C519"/>
    <mergeCell ref="C546:I546"/>
    <mergeCell ref="B541:C541"/>
    <mergeCell ref="D541:E541"/>
    <mergeCell ref="B542:C542"/>
    <mergeCell ref="D542:E542"/>
    <mergeCell ref="D479:E479"/>
    <mergeCell ref="B480:C480"/>
    <mergeCell ref="B484:C484"/>
    <mergeCell ref="D484:E484"/>
    <mergeCell ref="B485:C485"/>
    <mergeCell ref="D485:E485"/>
    <mergeCell ref="B486:C486"/>
    <mergeCell ref="D486:E486"/>
    <mergeCell ref="B487:C487"/>
    <mergeCell ref="D487:E487"/>
    <mergeCell ref="D501:E501"/>
    <mergeCell ref="D519:E519"/>
    <mergeCell ref="B502:C502"/>
    <mergeCell ref="D502:E502"/>
    <mergeCell ref="B495:C495"/>
    <mergeCell ref="D495:E495"/>
    <mergeCell ref="B496:C496"/>
    <mergeCell ref="D496:E496"/>
    <mergeCell ref="B535:C535"/>
    <mergeCell ref="D535:E535"/>
    <mergeCell ref="D538:E538"/>
    <mergeCell ref="B539:C539"/>
    <mergeCell ref="D539:E539"/>
    <mergeCell ref="B540:C540"/>
    <mergeCell ref="D540:E540"/>
    <mergeCell ref="B543:C543"/>
    <mergeCell ref="D543:E543"/>
    <mergeCell ref="C534:I534"/>
    <mergeCell ref="B529:C529"/>
    <mergeCell ref="D529:E529"/>
    <mergeCell ref="D517:E517"/>
    <mergeCell ref="B518:C518"/>
    <mergeCell ref="B548:C548"/>
    <mergeCell ref="D548:E548"/>
    <mergeCell ref="B483:C483"/>
    <mergeCell ref="D483:E483"/>
    <mergeCell ref="C489:H489"/>
    <mergeCell ref="B490:C490"/>
    <mergeCell ref="D490:E490"/>
    <mergeCell ref="C500:H500"/>
    <mergeCell ref="B497:C497"/>
    <mergeCell ref="B520:C520"/>
    <mergeCell ref="D520:E520"/>
    <mergeCell ref="D514:E514"/>
    <mergeCell ref="B515:C515"/>
    <mergeCell ref="D515:E515"/>
    <mergeCell ref="D518:E518"/>
    <mergeCell ref="B547:C547"/>
    <mergeCell ref="D547:E547"/>
    <mergeCell ref="B544:C544"/>
    <mergeCell ref="D544:E544"/>
    <mergeCell ref="B536:C536"/>
    <mergeCell ref="D536:E536"/>
    <mergeCell ref="D537:E537"/>
    <mergeCell ref="D523:E523"/>
    <mergeCell ref="B524:C524"/>
    <mergeCell ref="D524:E524"/>
    <mergeCell ref="D525:E525"/>
    <mergeCell ref="B526:C526"/>
    <mergeCell ref="D526:E526"/>
    <mergeCell ref="B527:C527"/>
    <mergeCell ref="D527:E527"/>
    <mergeCell ref="B528:C528"/>
    <mergeCell ref="D528:E528"/>
    <mergeCell ref="D560:E560"/>
    <mergeCell ref="B561:C561"/>
    <mergeCell ref="D561:E561"/>
    <mergeCell ref="D562:E562"/>
    <mergeCell ref="D563:E563"/>
    <mergeCell ref="B564:C564"/>
    <mergeCell ref="D564:E564"/>
    <mergeCell ref="B552:C552"/>
    <mergeCell ref="D552:E552"/>
    <mergeCell ref="B553:C553"/>
    <mergeCell ref="D553:E553"/>
    <mergeCell ref="B554:C554"/>
    <mergeCell ref="D554:E554"/>
    <mergeCell ref="B555:C555"/>
    <mergeCell ref="D555:E555"/>
    <mergeCell ref="B556:C556"/>
    <mergeCell ref="D556:E556"/>
    <mergeCell ref="C571:I571"/>
    <mergeCell ref="B572:C572"/>
    <mergeCell ref="D572:E572"/>
    <mergeCell ref="B573:C573"/>
    <mergeCell ref="D573:E573"/>
    <mergeCell ref="D574:E574"/>
    <mergeCell ref="D575:E575"/>
    <mergeCell ref="B576:C576"/>
    <mergeCell ref="D576:E576"/>
    <mergeCell ref="B565:C565"/>
    <mergeCell ref="D565:E565"/>
    <mergeCell ref="B566:C566"/>
    <mergeCell ref="D566:E566"/>
    <mergeCell ref="B567:C567"/>
    <mergeCell ref="D567:E567"/>
    <mergeCell ref="B568:C568"/>
    <mergeCell ref="D568:E568"/>
    <mergeCell ref="B569:C569"/>
    <mergeCell ref="D569:E569"/>
    <mergeCell ref="C583:I583"/>
    <mergeCell ref="B584:C584"/>
    <mergeCell ref="D584:E584"/>
    <mergeCell ref="B585:C585"/>
    <mergeCell ref="D585:E585"/>
    <mergeCell ref="D586:E586"/>
    <mergeCell ref="D587:E587"/>
    <mergeCell ref="B588:C588"/>
    <mergeCell ref="D588:E588"/>
    <mergeCell ref="B577:C577"/>
    <mergeCell ref="D577:E577"/>
    <mergeCell ref="B578:C578"/>
    <mergeCell ref="D578:E578"/>
    <mergeCell ref="B579:C579"/>
    <mergeCell ref="D579:E579"/>
    <mergeCell ref="B580:C580"/>
    <mergeCell ref="D580:E580"/>
    <mergeCell ref="B581:C581"/>
    <mergeCell ref="D581:E581"/>
    <mergeCell ref="C595:I595"/>
    <mergeCell ref="B596:C596"/>
    <mergeCell ref="D596:E596"/>
    <mergeCell ref="B597:C597"/>
    <mergeCell ref="D597:E597"/>
    <mergeCell ref="D598:E598"/>
    <mergeCell ref="D599:E599"/>
    <mergeCell ref="B600:C600"/>
    <mergeCell ref="D600:E600"/>
    <mergeCell ref="B589:C589"/>
    <mergeCell ref="D589:E589"/>
    <mergeCell ref="B590:C590"/>
    <mergeCell ref="D590:E590"/>
    <mergeCell ref="B591:C591"/>
    <mergeCell ref="D591:E591"/>
    <mergeCell ref="B592:C592"/>
    <mergeCell ref="D592:E592"/>
    <mergeCell ref="B593:C593"/>
    <mergeCell ref="D593:E593"/>
    <mergeCell ref="C608:I608"/>
    <mergeCell ref="B609:C609"/>
    <mergeCell ref="D609:E609"/>
    <mergeCell ref="B610:C610"/>
    <mergeCell ref="D610:E610"/>
    <mergeCell ref="D611:E611"/>
    <mergeCell ref="D612:E612"/>
    <mergeCell ref="B613:C613"/>
    <mergeCell ref="D613:E613"/>
    <mergeCell ref="B601:C601"/>
    <mergeCell ref="D601:E601"/>
    <mergeCell ref="B602:C602"/>
    <mergeCell ref="D602:E602"/>
    <mergeCell ref="B603:C603"/>
    <mergeCell ref="D603:E603"/>
    <mergeCell ref="B604:C604"/>
    <mergeCell ref="D604:E604"/>
    <mergeCell ref="B605:C605"/>
    <mergeCell ref="D605:E605"/>
    <mergeCell ref="C620:I620"/>
    <mergeCell ref="B621:C621"/>
    <mergeCell ref="D621:E621"/>
    <mergeCell ref="B622:C622"/>
    <mergeCell ref="D622:E622"/>
    <mergeCell ref="D623:E623"/>
    <mergeCell ref="D624:E624"/>
    <mergeCell ref="B625:C625"/>
    <mergeCell ref="D625:E625"/>
    <mergeCell ref="B614:C614"/>
    <mergeCell ref="D614:E614"/>
    <mergeCell ref="B615:C615"/>
    <mergeCell ref="D615:E615"/>
    <mergeCell ref="B616:C616"/>
    <mergeCell ref="D616:E616"/>
    <mergeCell ref="B617:C617"/>
    <mergeCell ref="D617:E617"/>
    <mergeCell ref="B618:C618"/>
    <mergeCell ref="D618:E618"/>
    <mergeCell ref="B626:C626"/>
    <mergeCell ref="D626:E626"/>
    <mergeCell ref="B627:C627"/>
    <mergeCell ref="D627:E627"/>
    <mergeCell ref="B628:C628"/>
    <mergeCell ref="D628:E628"/>
    <mergeCell ref="B629:C629"/>
    <mergeCell ref="D629:E629"/>
    <mergeCell ref="B630:C630"/>
    <mergeCell ref="D630:E630"/>
    <mergeCell ref="C656:I656"/>
    <mergeCell ref="B657:C657"/>
    <mergeCell ref="D657:E657"/>
    <mergeCell ref="B658:C658"/>
    <mergeCell ref="D658:E658"/>
    <mergeCell ref="D659:E659"/>
    <mergeCell ref="D660:E660"/>
    <mergeCell ref="B650:C650"/>
    <mergeCell ref="B654:C654"/>
    <mergeCell ref="D654:E654"/>
    <mergeCell ref="D810:E810"/>
    <mergeCell ref="B807:C807"/>
    <mergeCell ref="D682:E682"/>
    <mergeCell ref="B683:C683"/>
    <mergeCell ref="D683:E683"/>
    <mergeCell ref="D684:E684"/>
    <mergeCell ref="D685:E685"/>
    <mergeCell ref="B686:C686"/>
    <mergeCell ref="D686:E686"/>
    <mergeCell ref="C681:H681"/>
    <mergeCell ref="D705:E705"/>
    <mergeCell ref="D706:E706"/>
    <mergeCell ref="D690:E690"/>
    <mergeCell ref="D704:E704"/>
    <mergeCell ref="B708:C708"/>
    <mergeCell ref="C644:I644"/>
    <mergeCell ref="B645:C645"/>
    <mergeCell ref="D645:E645"/>
    <mergeCell ref="B646:C646"/>
    <mergeCell ref="D646:E646"/>
    <mergeCell ref="D647:E647"/>
    <mergeCell ref="D648:E648"/>
    <mergeCell ref="B649:C649"/>
    <mergeCell ref="D649:E649"/>
    <mergeCell ref="B661:C661"/>
    <mergeCell ref="D661:E661"/>
    <mergeCell ref="B662:C662"/>
    <mergeCell ref="D662:E662"/>
    <mergeCell ref="B663:C663"/>
    <mergeCell ref="D663:E663"/>
    <mergeCell ref="B664:C664"/>
    <mergeCell ref="D664:E664"/>
    <mergeCell ref="D807:E807"/>
    <mergeCell ref="D808:E808"/>
    <mergeCell ref="B666:C666"/>
    <mergeCell ref="D666:E666"/>
    <mergeCell ref="C669:I669"/>
    <mergeCell ref="B670:C670"/>
    <mergeCell ref="D670:E670"/>
    <mergeCell ref="B671:C671"/>
    <mergeCell ref="D671:E671"/>
    <mergeCell ref="D672:E672"/>
    <mergeCell ref="D673:E673"/>
    <mergeCell ref="D869:E869"/>
    <mergeCell ref="D877:E877"/>
    <mergeCell ref="D878:E878"/>
    <mergeCell ref="D881:E881"/>
    <mergeCell ref="D882:E882"/>
    <mergeCell ref="D889:E889"/>
    <mergeCell ref="D879:E879"/>
    <mergeCell ref="D880:E880"/>
    <mergeCell ref="D883:E883"/>
    <mergeCell ref="D884:E884"/>
    <mergeCell ref="D885:E885"/>
    <mergeCell ref="D886:E886"/>
    <mergeCell ref="D887:E887"/>
    <mergeCell ref="B768:C768"/>
    <mergeCell ref="D768:E768"/>
    <mergeCell ref="B803:C803"/>
    <mergeCell ref="D803:E803"/>
    <mergeCell ref="D804:E804"/>
    <mergeCell ref="D805:E805"/>
    <mergeCell ref="D806:E806"/>
    <mergeCell ref="B810:C810"/>
    <mergeCell ref="B738:C738"/>
    <mergeCell ref="D721:E721"/>
    <mergeCell ref="B866:C866"/>
    <mergeCell ref="D866:E866"/>
    <mergeCell ref="D867:E867"/>
    <mergeCell ref="D826:E826"/>
    <mergeCell ref="D827:E827"/>
    <mergeCell ref="D828:E828"/>
    <mergeCell ref="D829:E829"/>
    <mergeCell ref="B831:C831"/>
    <mergeCell ref="D831:E831"/>
    <mergeCell ref="B700:C700"/>
    <mergeCell ref="D700:E700"/>
    <mergeCell ref="B701:C701"/>
    <mergeCell ref="D701:E701"/>
    <mergeCell ref="B693:C693"/>
    <mergeCell ref="D693:E693"/>
    <mergeCell ref="B694:C694"/>
    <mergeCell ref="D707:E707"/>
    <mergeCell ref="D708:E708"/>
    <mergeCell ref="B757:C757"/>
    <mergeCell ref="D846:E846"/>
    <mergeCell ref="B758:C758"/>
    <mergeCell ref="D758:E758"/>
    <mergeCell ref="B759:C759"/>
    <mergeCell ref="D780:E780"/>
    <mergeCell ref="D781:E781"/>
    <mergeCell ref="B782:C782"/>
    <mergeCell ref="D782:E782"/>
    <mergeCell ref="B783:C783"/>
    <mergeCell ref="B786:C786"/>
    <mergeCell ref="D786:E786"/>
    <mergeCell ref="B745:C745"/>
    <mergeCell ref="D745:E745"/>
    <mergeCell ref="B752:C752"/>
    <mergeCell ref="D752:E752"/>
    <mergeCell ref="B749:C749"/>
    <mergeCell ref="D749:E749"/>
    <mergeCell ref="D734:E734"/>
    <mergeCell ref="D750:E750"/>
    <mergeCell ref="C736:H736"/>
    <mergeCell ref="B755:C755"/>
    <mergeCell ref="D755:E755"/>
    <mergeCell ref="B737:C737"/>
    <mergeCell ref="D737:E737"/>
    <mergeCell ref="D709:E709"/>
    <mergeCell ref="B710:C710"/>
    <mergeCell ref="D710:E710"/>
    <mergeCell ref="C714:H714"/>
    <mergeCell ref="B727:C727"/>
    <mergeCell ref="D727:E727"/>
    <mergeCell ref="D718:E718"/>
    <mergeCell ref="B719:C719"/>
    <mergeCell ref="D712:E712"/>
    <mergeCell ref="B709:C709"/>
    <mergeCell ref="B711:C711"/>
    <mergeCell ref="D711:E711"/>
    <mergeCell ref="B712:C712"/>
    <mergeCell ref="D728:E728"/>
    <mergeCell ref="D729:E729"/>
    <mergeCell ref="B730:C730"/>
    <mergeCell ref="D730:E730"/>
    <mergeCell ref="B731:C731"/>
    <mergeCell ref="D731:E731"/>
    <mergeCell ref="E17:F17"/>
    <mergeCell ref="E18:F18"/>
    <mergeCell ref="D809:E809"/>
    <mergeCell ref="B824:C824"/>
    <mergeCell ref="D824:E824"/>
    <mergeCell ref="B825:C825"/>
    <mergeCell ref="D825:E825"/>
    <mergeCell ref="B822:C822"/>
    <mergeCell ref="D822:J822"/>
    <mergeCell ref="B823:C823"/>
    <mergeCell ref="D823:E823"/>
    <mergeCell ref="B812:C812"/>
    <mergeCell ref="D830:E830"/>
    <mergeCell ref="D812:J812"/>
    <mergeCell ref="B754:C754"/>
    <mergeCell ref="D754:E754"/>
    <mergeCell ref="B732:C732"/>
    <mergeCell ref="D732:E732"/>
    <mergeCell ref="B733:C733"/>
    <mergeCell ref="D733:E733"/>
    <mergeCell ref="B734:C734"/>
    <mergeCell ref="D738:E738"/>
    <mergeCell ref="D739:E739"/>
    <mergeCell ref="D740:E740"/>
    <mergeCell ref="B741:C741"/>
    <mergeCell ref="D741:E741"/>
    <mergeCell ref="B742:C742"/>
    <mergeCell ref="D742:E742"/>
    <mergeCell ref="B743:C743"/>
    <mergeCell ref="D743:E743"/>
    <mergeCell ref="B744:C744"/>
    <mergeCell ref="D744:E744"/>
    <mergeCell ref="B89:C89"/>
    <mergeCell ref="D89:E89"/>
    <mergeCell ref="B90:C90"/>
    <mergeCell ref="D90:E90"/>
    <mergeCell ref="B92:C92"/>
    <mergeCell ref="D92:E92"/>
    <mergeCell ref="E1:J1"/>
    <mergeCell ref="C3:D3"/>
    <mergeCell ref="E3:I3"/>
    <mergeCell ref="C4:D4"/>
    <mergeCell ref="E4:F4"/>
    <mergeCell ref="C5:D5"/>
    <mergeCell ref="E5:F5"/>
    <mergeCell ref="E6:I6"/>
    <mergeCell ref="E73:F73"/>
    <mergeCell ref="E20:F20"/>
    <mergeCell ref="E33:F33"/>
    <mergeCell ref="E52:F52"/>
    <mergeCell ref="E63:F63"/>
    <mergeCell ref="E44:F44"/>
    <mergeCell ref="C72:D72"/>
    <mergeCell ref="E72:F72"/>
    <mergeCell ref="E30:F30"/>
    <mergeCell ref="E31:F31"/>
    <mergeCell ref="E41:F41"/>
    <mergeCell ref="E42:F42"/>
    <mergeCell ref="E49:F49"/>
    <mergeCell ref="E50:F50"/>
    <mergeCell ref="E57:F57"/>
    <mergeCell ref="E58:F58"/>
    <mergeCell ref="E67:F67"/>
    <mergeCell ref="E68:F68"/>
    <mergeCell ref="B82:C82"/>
    <mergeCell ref="D82:H82"/>
    <mergeCell ref="B83:C83"/>
    <mergeCell ref="D83:E83"/>
    <mergeCell ref="B84:C84"/>
    <mergeCell ref="D84:E84"/>
    <mergeCell ref="D85:E85"/>
    <mergeCell ref="B86:C86"/>
    <mergeCell ref="D86:E86"/>
    <mergeCell ref="D87:E87"/>
    <mergeCell ref="B88:C88"/>
    <mergeCell ref="D88:E88"/>
    <mergeCell ref="E61:F61"/>
    <mergeCell ref="E71:F71"/>
    <mergeCell ref="C76:D76"/>
    <mergeCell ref="E76:F76"/>
    <mergeCell ref="C77:D77"/>
    <mergeCell ref="E77:F77"/>
    <mergeCell ref="C73:D73"/>
    <mergeCell ref="C75:D75"/>
    <mergeCell ref="C74:D74"/>
    <mergeCell ref="C78:D78"/>
    <mergeCell ref="E78:F78"/>
    <mergeCell ref="C79:D79"/>
    <mergeCell ref="E79:F79"/>
    <mergeCell ref="D875:E875"/>
    <mergeCell ref="D891:E891"/>
    <mergeCell ref="B892:C892"/>
    <mergeCell ref="B895:C895"/>
    <mergeCell ref="D895:K895"/>
    <mergeCell ref="D896:E896"/>
    <mergeCell ref="D910:E910"/>
    <mergeCell ref="B911:C911"/>
    <mergeCell ref="B914:C914"/>
    <mergeCell ref="D914:H914"/>
    <mergeCell ref="B915:C915"/>
    <mergeCell ref="D915:E915"/>
    <mergeCell ref="D916:E916"/>
    <mergeCell ref="D748:E748"/>
    <mergeCell ref="B748:C748"/>
    <mergeCell ref="C747:H747"/>
    <mergeCell ref="B764:C764"/>
    <mergeCell ref="B767:C767"/>
    <mergeCell ref="D767:E767"/>
    <mergeCell ref="B771:C771"/>
    <mergeCell ref="D753:E753"/>
    <mergeCell ref="C766:H766"/>
    <mergeCell ref="B853:C853"/>
    <mergeCell ref="D853:J853"/>
    <mergeCell ref="D854:E854"/>
    <mergeCell ref="B861:C861"/>
    <mergeCell ref="B863:C863"/>
    <mergeCell ref="D863:I863"/>
    <mergeCell ref="B843:C843"/>
    <mergeCell ref="D843:J843"/>
    <mergeCell ref="B844:C844"/>
    <mergeCell ref="D844:E844"/>
    <mergeCell ref="D926:H926"/>
    <mergeCell ref="B927:C927"/>
    <mergeCell ref="D927:E927"/>
    <mergeCell ref="D928:E928"/>
    <mergeCell ref="B933:C933"/>
    <mergeCell ref="D137:E137"/>
    <mergeCell ref="D151:E151"/>
    <mergeCell ref="D165:E165"/>
    <mergeCell ref="D179:E179"/>
    <mergeCell ref="C632:I632"/>
    <mergeCell ref="B633:C633"/>
    <mergeCell ref="D633:E633"/>
    <mergeCell ref="B634:C634"/>
    <mergeCell ref="D634:E634"/>
    <mergeCell ref="D635:E635"/>
    <mergeCell ref="D636:E636"/>
    <mergeCell ref="B637:C637"/>
    <mergeCell ref="D637:E637"/>
    <mergeCell ref="B638:C638"/>
    <mergeCell ref="D638:E638"/>
    <mergeCell ref="B639:C639"/>
    <mergeCell ref="D639:E639"/>
    <mergeCell ref="B640:C640"/>
    <mergeCell ref="D640:E640"/>
    <mergeCell ref="B641:C641"/>
    <mergeCell ref="D641:E641"/>
    <mergeCell ref="B642:C642"/>
    <mergeCell ref="D642:E642"/>
    <mergeCell ref="D864:E864"/>
    <mergeCell ref="B869:C869"/>
    <mergeCell ref="B874:C874"/>
    <mergeCell ref="D874:K874"/>
    <mergeCell ref="B937:C937"/>
    <mergeCell ref="D937:H937"/>
    <mergeCell ref="B938:C938"/>
    <mergeCell ref="D938:E938"/>
    <mergeCell ref="B940:C940"/>
    <mergeCell ref="D940:E940"/>
    <mergeCell ref="B944:C944"/>
    <mergeCell ref="D945:E945"/>
    <mergeCell ref="D946:E946"/>
    <mergeCell ref="B947:C947"/>
    <mergeCell ref="D947:E947"/>
    <mergeCell ref="D941:E941"/>
    <mergeCell ref="D942:E942"/>
    <mergeCell ref="D943:E943"/>
    <mergeCell ref="D944:E944"/>
    <mergeCell ref="B939:C939"/>
    <mergeCell ref="D939:E939"/>
    <mergeCell ref="B941:C941"/>
    <mergeCell ref="B942:C942"/>
    <mergeCell ref="B943:C943"/>
    <mergeCell ref="B945:C945"/>
    <mergeCell ref="B949:C949"/>
    <mergeCell ref="D949:H949"/>
    <mergeCell ref="B950:C950"/>
    <mergeCell ref="D950:E950"/>
    <mergeCell ref="B951:C951"/>
    <mergeCell ref="D951:E951"/>
    <mergeCell ref="B952:C952"/>
    <mergeCell ref="D952:E952"/>
    <mergeCell ref="B953:C953"/>
    <mergeCell ref="D953:E953"/>
    <mergeCell ref="B954:C954"/>
    <mergeCell ref="D954:E954"/>
    <mergeCell ref="B955:C955"/>
    <mergeCell ref="D955:E955"/>
    <mergeCell ref="B956:C956"/>
    <mergeCell ref="D956:E956"/>
    <mergeCell ref="B957:C957"/>
    <mergeCell ref="D957:E957"/>
    <mergeCell ref="D976:E976"/>
    <mergeCell ref="B977:C977"/>
    <mergeCell ref="D977:E977"/>
    <mergeCell ref="D958:E958"/>
    <mergeCell ref="B959:C959"/>
    <mergeCell ref="D959:E959"/>
    <mergeCell ref="B961:C961"/>
    <mergeCell ref="D961:H961"/>
    <mergeCell ref="B962:C962"/>
    <mergeCell ref="D962:E962"/>
    <mergeCell ref="B963:C963"/>
    <mergeCell ref="D963:E963"/>
    <mergeCell ref="B964:C964"/>
    <mergeCell ref="D964:E964"/>
    <mergeCell ref="B965:C965"/>
    <mergeCell ref="D965:E965"/>
    <mergeCell ref="B966:C966"/>
    <mergeCell ref="D966:E966"/>
    <mergeCell ref="B967:C967"/>
    <mergeCell ref="D967:E967"/>
    <mergeCell ref="D994:E994"/>
    <mergeCell ref="B995:C995"/>
    <mergeCell ref="D995:E995"/>
    <mergeCell ref="B997:C997"/>
    <mergeCell ref="D997:H997"/>
    <mergeCell ref="B978:C978"/>
    <mergeCell ref="D978:E978"/>
    <mergeCell ref="B979:C979"/>
    <mergeCell ref="D979:E979"/>
    <mergeCell ref="B980:C980"/>
    <mergeCell ref="D980:E980"/>
    <mergeCell ref="B981:C981"/>
    <mergeCell ref="D981:E981"/>
    <mergeCell ref="D982:E982"/>
    <mergeCell ref="B983:C983"/>
    <mergeCell ref="D983:E983"/>
    <mergeCell ref="B985:C985"/>
    <mergeCell ref="D985:H985"/>
    <mergeCell ref="B986:C986"/>
    <mergeCell ref="D986:E986"/>
    <mergeCell ref="B987:C987"/>
    <mergeCell ref="D987:E987"/>
    <mergeCell ref="B988:C988"/>
    <mergeCell ref="D988:E988"/>
    <mergeCell ref="B989:C989"/>
    <mergeCell ref="D989:E989"/>
    <mergeCell ref="B990:C990"/>
    <mergeCell ref="D990:E990"/>
    <mergeCell ref="B991:C991"/>
    <mergeCell ref="D991:E991"/>
    <mergeCell ref="B992:C992"/>
    <mergeCell ref="D992:E992"/>
    <mergeCell ref="B1010:C1010"/>
    <mergeCell ref="D1010:E1010"/>
    <mergeCell ref="D1005:E1005"/>
    <mergeCell ref="B998:C998"/>
    <mergeCell ref="D998:E998"/>
    <mergeCell ref="B999:C999"/>
    <mergeCell ref="D999:E999"/>
    <mergeCell ref="B1000:C1000"/>
    <mergeCell ref="D1000:E1000"/>
    <mergeCell ref="B1003:C1003"/>
    <mergeCell ref="D1003:E1003"/>
    <mergeCell ref="B1004:C1004"/>
    <mergeCell ref="D1004:E1004"/>
    <mergeCell ref="B1006:C1006"/>
    <mergeCell ref="D1006:E1006"/>
    <mergeCell ref="B1007:C1007"/>
    <mergeCell ref="D1007:E1007"/>
    <mergeCell ref="B1008:C1008"/>
    <mergeCell ref="D1008:E1008"/>
    <mergeCell ref="D1009:E1009"/>
    <mergeCell ref="B722:C722"/>
    <mergeCell ref="D722:E722"/>
    <mergeCell ref="B674:C674"/>
    <mergeCell ref="D674:E674"/>
    <mergeCell ref="B675:C675"/>
    <mergeCell ref="D675:E675"/>
    <mergeCell ref="B676:C676"/>
    <mergeCell ref="B682:C682"/>
    <mergeCell ref="D650:E650"/>
    <mergeCell ref="B651:C651"/>
    <mergeCell ref="D651:E651"/>
    <mergeCell ref="B652:C652"/>
    <mergeCell ref="D652:E652"/>
    <mergeCell ref="B653:C653"/>
    <mergeCell ref="D653:E653"/>
    <mergeCell ref="B715:C715"/>
    <mergeCell ref="C703:H703"/>
    <mergeCell ref="B704:C704"/>
    <mergeCell ref="B705:C705"/>
    <mergeCell ref="B699:C699"/>
    <mergeCell ref="D699:E699"/>
    <mergeCell ref="D687:E687"/>
    <mergeCell ref="B688:C688"/>
    <mergeCell ref="D688:E688"/>
    <mergeCell ref="B689:C689"/>
    <mergeCell ref="B687:C687"/>
    <mergeCell ref="B665:C665"/>
    <mergeCell ref="D665:E665"/>
    <mergeCell ref="B993:C993"/>
    <mergeCell ref="B530:C530"/>
    <mergeCell ref="D530:E530"/>
    <mergeCell ref="B531:C531"/>
    <mergeCell ref="D531:E531"/>
    <mergeCell ref="D993:E993"/>
    <mergeCell ref="B968:C968"/>
    <mergeCell ref="D968:E968"/>
    <mergeCell ref="B969:C969"/>
    <mergeCell ref="D969:E969"/>
    <mergeCell ref="D970:E970"/>
    <mergeCell ref="B971:C971"/>
    <mergeCell ref="D971:E971"/>
    <mergeCell ref="B973:C973"/>
    <mergeCell ref="D973:H973"/>
    <mergeCell ref="B974:C974"/>
    <mergeCell ref="D974:E974"/>
    <mergeCell ref="B975:C975"/>
    <mergeCell ref="D975:E975"/>
    <mergeCell ref="D791:E791"/>
    <mergeCell ref="D792:E792"/>
    <mergeCell ref="B793:C793"/>
    <mergeCell ref="D793:E793"/>
    <mergeCell ref="B794:C794"/>
    <mergeCell ref="D794:E794"/>
    <mergeCell ref="B795:C795"/>
    <mergeCell ref="D795:E795"/>
    <mergeCell ref="B796:C796"/>
    <mergeCell ref="D796:E796"/>
    <mergeCell ref="B797:C797"/>
    <mergeCell ref="D797:E797"/>
    <mergeCell ref="B976:C976"/>
    <mergeCell ref="B286:C286"/>
    <mergeCell ref="D286:E286"/>
    <mergeCell ref="C777:H777"/>
    <mergeCell ref="B778:C778"/>
    <mergeCell ref="D778:E778"/>
    <mergeCell ref="B779:C779"/>
    <mergeCell ref="D779:E779"/>
    <mergeCell ref="D783:E783"/>
    <mergeCell ref="B784:C784"/>
    <mergeCell ref="D784:E784"/>
    <mergeCell ref="B785:C785"/>
    <mergeCell ref="D785:E785"/>
    <mergeCell ref="C522:H522"/>
    <mergeCell ref="B523:C523"/>
    <mergeCell ref="B463:C463"/>
    <mergeCell ref="D463:E463"/>
    <mergeCell ref="B464:C464"/>
    <mergeCell ref="D464:E464"/>
    <mergeCell ref="D757:E757"/>
    <mergeCell ref="D689:E689"/>
    <mergeCell ref="B690:C690"/>
    <mergeCell ref="B698:C698"/>
    <mergeCell ref="D698:E698"/>
    <mergeCell ref="D694:E694"/>
    <mergeCell ref="D695:E695"/>
    <mergeCell ref="D696:E696"/>
    <mergeCell ref="B697:C697"/>
    <mergeCell ref="D697:E697"/>
    <mergeCell ref="C692:H692"/>
    <mergeCell ref="B756:C756"/>
    <mergeCell ref="D756:E756"/>
    <mergeCell ref="D751:E751"/>
    <mergeCell ref="D184:E184"/>
    <mergeCell ref="D185:E185"/>
    <mergeCell ref="B186:C186"/>
    <mergeCell ref="D186:E186"/>
    <mergeCell ref="B187:C187"/>
    <mergeCell ref="D187:E187"/>
    <mergeCell ref="B188:C188"/>
    <mergeCell ref="D188:E188"/>
    <mergeCell ref="B189:C189"/>
    <mergeCell ref="D189:E189"/>
    <mergeCell ref="B190:C190"/>
    <mergeCell ref="D190:E190"/>
    <mergeCell ref="B283:C283"/>
    <mergeCell ref="D283:E283"/>
    <mergeCell ref="B284:C284"/>
    <mergeCell ref="D284:E284"/>
    <mergeCell ref="B285:C285"/>
    <mergeCell ref="D285:E285"/>
    <mergeCell ref="B255:C255"/>
    <mergeCell ref="D255:E255"/>
    <mergeCell ref="B256:C256"/>
    <mergeCell ref="D256:E256"/>
    <mergeCell ref="B257:C257"/>
    <mergeCell ref="D257:E257"/>
    <mergeCell ref="B258:C258"/>
    <mergeCell ref="D258:E258"/>
    <mergeCell ref="B259:C259"/>
    <mergeCell ref="D259:E259"/>
    <mergeCell ref="C249:I249"/>
    <mergeCell ref="B250:C250"/>
    <mergeCell ref="D250:E250"/>
    <mergeCell ref="B251:C251"/>
    <mergeCell ref="B363:C363"/>
    <mergeCell ref="D363:E363"/>
    <mergeCell ref="B364:C364"/>
    <mergeCell ref="D364:E364"/>
    <mergeCell ref="B365:C365"/>
    <mergeCell ref="D365:E365"/>
    <mergeCell ref="D91:E91"/>
    <mergeCell ref="C354:I354"/>
    <mergeCell ref="B355:C355"/>
    <mergeCell ref="D355:E355"/>
    <mergeCell ref="B356:C356"/>
    <mergeCell ref="D356:E356"/>
    <mergeCell ref="D357:E357"/>
    <mergeCell ref="D358:E358"/>
    <mergeCell ref="B359:C359"/>
    <mergeCell ref="D359:E359"/>
    <mergeCell ref="B360:C360"/>
    <mergeCell ref="D360:E360"/>
    <mergeCell ref="B361:C361"/>
    <mergeCell ref="D361:E361"/>
    <mergeCell ref="B362:C362"/>
    <mergeCell ref="D362:E362"/>
    <mergeCell ref="B191:C191"/>
    <mergeCell ref="D191:E191"/>
    <mergeCell ref="B192:C192"/>
    <mergeCell ref="D192:E192"/>
    <mergeCell ref="D193:E193"/>
    <mergeCell ref="C181:I181"/>
    <mergeCell ref="B182:C182"/>
    <mergeCell ref="D182:E182"/>
    <mergeCell ref="B183:C183"/>
    <mergeCell ref="D183:E183"/>
    <mergeCell ref="B272:C272"/>
    <mergeCell ref="D272:E272"/>
    <mergeCell ref="B273:C273"/>
    <mergeCell ref="D273:E273"/>
    <mergeCell ref="C262:I262"/>
    <mergeCell ref="B263:C263"/>
    <mergeCell ref="D263:E263"/>
    <mergeCell ref="B264:C264"/>
    <mergeCell ref="D264:E264"/>
    <mergeCell ref="D265:E265"/>
    <mergeCell ref="D266:E266"/>
    <mergeCell ref="B267:C267"/>
    <mergeCell ref="D267:E267"/>
    <mergeCell ref="B268:C268"/>
    <mergeCell ref="D268:E268"/>
    <mergeCell ref="B269:C269"/>
    <mergeCell ref="D269:E269"/>
    <mergeCell ref="B270:C270"/>
    <mergeCell ref="D270:E270"/>
    <mergeCell ref="B271:C271"/>
    <mergeCell ref="D271:E271"/>
  </mergeCells>
  <phoneticPr fontId="42" type="noConversion"/>
  <pageMargins left="0.25" right="0.25" top="0.75" bottom="0.75" header="0.3" footer="0.3"/>
  <pageSetup paperSize="9" scale="84" fitToHeight="0" orientation="portrait" r:id="rId1"/>
  <headerFooter>
    <oddHeader>&amp;C&amp;G</oddHeader>
  </headerFooter>
  <rowBreaks count="17" manualBreakCount="17">
    <brk id="43" max="10" man="1"/>
    <brk id="81" max="10" man="1"/>
    <brk id="114" max="10" man="1"/>
    <brk id="151" max="10" man="1"/>
    <brk id="234" min="1" max="10" man="1"/>
    <brk id="313" min="1" max="10" man="1"/>
    <brk id="420" min="1" max="10" man="1"/>
    <brk id="476" min="1" max="10" man="1"/>
    <brk id="531" min="1" max="10" man="1"/>
    <brk id="557" min="1" max="10" man="1"/>
    <brk id="606" min="1" max="10" man="1"/>
    <brk id="667" min="1" max="10" man="1"/>
    <brk id="701" min="1" max="10" man="1"/>
    <brk id="735" min="1" max="10" man="1"/>
    <brk id="798" min="1" max="10" man="1"/>
    <brk id="852" min="1" max="10" man="1"/>
    <brk id="912" min="1" max="10" man="1"/>
  </rowBreaks>
  <ignoredErrors>
    <ignoredError sqref="D13 D28 D46 D47 D38 D55 D9 D10 D27 D36 D45 D65 D64 D11 D12 D21 D22 D23 D24 D25 D26 D34 D35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96"/>
  <sheetViews>
    <sheetView showGridLines="0" view="pageBreakPreview" topLeftCell="A67" zoomScaleNormal="100" zoomScaleSheetLayoutView="100" workbookViewId="0">
      <selection activeCell="A94" sqref="A94:D94"/>
    </sheetView>
  </sheetViews>
  <sheetFormatPr defaultRowHeight="15" x14ac:dyDescent="0.25"/>
  <cols>
    <col min="9" max="9" width="12.28515625" customWidth="1"/>
    <col min="10" max="10" width="11.42578125" customWidth="1"/>
    <col min="11" max="11" width="11" customWidth="1"/>
  </cols>
  <sheetData>
    <row r="1" spans="1:11" x14ac:dyDescent="0.25">
      <c r="A1" s="656"/>
      <c r="B1" s="656"/>
      <c r="C1" s="656"/>
      <c r="D1" s="656"/>
      <c r="E1" s="656"/>
      <c r="F1" s="656"/>
      <c r="G1" s="656"/>
      <c r="H1" s="656"/>
      <c r="I1" s="656"/>
      <c r="J1" s="656"/>
      <c r="K1" s="656"/>
    </row>
    <row r="2" spans="1:11" x14ac:dyDescent="0.25">
      <c r="A2" s="656"/>
      <c r="B2" s="656"/>
      <c r="C2" s="656"/>
      <c r="D2" s="656"/>
      <c r="E2" s="656"/>
      <c r="F2" s="656"/>
      <c r="G2" s="656"/>
      <c r="H2" s="656"/>
      <c r="I2" s="656"/>
      <c r="J2" s="656"/>
      <c r="K2" s="656"/>
    </row>
    <row r="3" spans="1:11" x14ac:dyDescent="0.25">
      <c r="A3" s="656"/>
      <c r="B3" s="656"/>
      <c r="C3" s="656"/>
      <c r="D3" s="656"/>
      <c r="E3" s="656"/>
      <c r="F3" s="656"/>
      <c r="G3" s="656"/>
      <c r="H3" s="656"/>
      <c r="I3" s="656"/>
      <c r="J3" s="656"/>
      <c r="K3" s="656"/>
    </row>
    <row r="4" spans="1:11" x14ac:dyDescent="0.25">
      <c r="A4" s="656"/>
      <c r="B4" s="656"/>
      <c r="C4" s="656"/>
      <c r="D4" s="656"/>
      <c r="E4" s="656"/>
      <c r="F4" s="656"/>
      <c r="G4" s="656"/>
      <c r="H4" s="656"/>
      <c r="I4" s="656"/>
      <c r="J4" s="656"/>
      <c r="K4" s="656"/>
    </row>
    <row r="5" spans="1:11" x14ac:dyDescent="0.25">
      <c r="A5" s="656"/>
      <c r="B5" s="656"/>
      <c r="C5" s="656"/>
      <c r="D5" s="656"/>
      <c r="E5" s="656"/>
      <c r="F5" s="656"/>
      <c r="G5" s="656"/>
      <c r="H5" s="656"/>
      <c r="I5" s="656"/>
      <c r="J5" s="656"/>
      <c r="K5" s="656"/>
    </row>
    <row r="6" spans="1:11" x14ac:dyDescent="0.25">
      <c r="A6" s="656"/>
      <c r="B6" s="656"/>
      <c r="C6" s="656"/>
      <c r="D6" s="656"/>
      <c r="E6" s="656"/>
      <c r="F6" s="656"/>
      <c r="G6" s="656"/>
      <c r="H6" s="656"/>
      <c r="I6" s="656"/>
      <c r="J6" s="656"/>
      <c r="K6" s="656"/>
    </row>
    <row r="7" spans="1:11" x14ac:dyDescent="0.25">
      <c r="A7" s="656"/>
      <c r="B7" s="656"/>
      <c r="C7" s="656"/>
      <c r="D7" s="656"/>
      <c r="E7" s="656"/>
      <c r="F7" s="656"/>
      <c r="G7" s="656"/>
      <c r="H7" s="656"/>
      <c r="I7" s="656"/>
      <c r="J7" s="656"/>
      <c r="K7" s="656"/>
    </row>
    <row r="8" spans="1:11" ht="19.5" x14ac:dyDescent="0.35">
      <c r="A8" s="5"/>
      <c r="B8" s="658" t="s">
        <v>634</v>
      </c>
      <c r="C8" s="658"/>
      <c r="D8" s="658"/>
      <c r="E8" s="658"/>
      <c r="F8" s="658"/>
      <c r="G8" s="658"/>
      <c r="H8" s="658"/>
      <c r="I8" s="658"/>
      <c r="J8" s="658"/>
      <c r="K8" s="1"/>
    </row>
    <row r="9" spans="1:11" ht="19.5" x14ac:dyDescent="0.35">
      <c r="A9" s="5"/>
      <c r="B9" s="658" t="s">
        <v>635</v>
      </c>
      <c r="C9" s="658"/>
      <c r="D9" s="658"/>
      <c r="E9" s="658"/>
      <c r="F9" s="658"/>
      <c r="G9" s="658"/>
      <c r="H9" s="658"/>
      <c r="I9" s="658"/>
      <c r="J9" s="658"/>
      <c r="K9" s="1"/>
    </row>
    <row r="10" spans="1:11" ht="20.25" thickBot="1" x14ac:dyDescent="0.4">
      <c r="A10" s="5"/>
      <c r="B10" s="47"/>
      <c r="C10" s="47"/>
      <c r="D10" s="47"/>
      <c r="E10" s="47"/>
      <c r="F10" s="47"/>
      <c r="G10" s="47"/>
      <c r="H10" s="47"/>
      <c r="I10" s="47"/>
      <c r="J10" s="6"/>
      <c r="K10" s="1"/>
    </row>
    <row r="11" spans="1:11" ht="15.75" thickBot="1" x14ac:dyDescent="0.3">
      <c r="A11" s="10" t="s">
        <v>1</v>
      </c>
      <c r="B11" s="11"/>
      <c r="C11" s="896" t="s">
        <v>660</v>
      </c>
      <c r="D11" s="897"/>
      <c r="E11" s="898"/>
      <c r="F11" s="10" t="s">
        <v>0</v>
      </c>
      <c r="G11" s="703">
        <v>45665</v>
      </c>
      <c r="H11" s="886"/>
      <c r="I11" s="886"/>
      <c r="J11" s="887"/>
      <c r="K11" s="892"/>
    </row>
    <row r="12" spans="1:11" ht="15.75" thickBot="1" x14ac:dyDescent="0.3">
      <c r="A12" s="12"/>
      <c r="B12" s="12"/>
      <c r="C12" s="12"/>
      <c r="D12" s="12"/>
      <c r="E12" s="12"/>
      <c r="F12" s="13"/>
      <c r="G12" s="14"/>
      <c r="H12" s="706"/>
      <c r="I12" s="706"/>
      <c r="J12" s="15"/>
      <c r="K12" s="892"/>
    </row>
    <row r="13" spans="1:11" ht="15.75" thickBot="1" x14ac:dyDescent="0.3">
      <c r="A13" s="16" t="s">
        <v>65</v>
      </c>
      <c r="B13" s="710" t="s">
        <v>2</v>
      </c>
      <c r="C13" s="711"/>
      <c r="D13" s="711"/>
      <c r="E13" s="712"/>
      <c r="F13" s="13"/>
      <c r="G13" s="14"/>
      <c r="H13" s="17"/>
      <c r="I13" s="17"/>
      <c r="J13" s="15"/>
      <c r="K13" s="892"/>
    </row>
    <row r="14" spans="1:11" x14ac:dyDescent="0.25">
      <c r="A14" s="42"/>
      <c r="B14" s="43"/>
      <c r="C14" s="43"/>
      <c r="D14" s="43"/>
      <c r="E14" s="43"/>
      <c r="F14" s="13"/>
      <c r="G14" s="14"/>
      <c r="H14" s="17"/>
      <c r="I14" s="17"/>
      <c r="J14" s="15"/>
      <c r="K14" s="892"/>
    </row>
    <row r="15" spans="1:11" x14ac:dyDescent="0.25">
      <c r="A15" s="42" t="s">
        <v>4</v>
      </c>
      <c r="B15" s="44" t="s">
        <v>123</v>
      </c>
      <c r="C15" s="43"/>
      <c r="D15" s="43"/>
      <c r="E15" s="43"/>
      <c r="F15" s="13"/>
      <c r="G15" s="14"/>
      <c r="H15" s="17"/>
      <c r="I15" s="17"/>
      <c r="J15" s="15"/>
      <c r="K15" s="892"/>
    </row>
    <row r="16" spans="1:11" x14ac:dyDescent="0.25">
      <c r="A16" s="7" t="s">
        <v>5</v>
      </c>
      <c r="B16" s="687" t="s">
        <v>126</v>
      </c>
      <c r="C16" s="687"/>
      <c r="D16" s="687"/>
      <c r="E16" s="687"/>
      <c r="F16" s="8"/>
      <c r="G16" s="9"/>
      <c r="H16" s="9"/>
      <c r="I16" s="9"/>
      <c r="J16" s="9"/>
      <c r="K16" s="892"/>
    </row>
    <row r="17" spans="1:11" x14ac:dyDescent="0.25">
      <c r="A17" s="7" t="s">
        <v>6</v>
      </c>
      <c r="B17" s="687" t="s">
        <v>151</v>
      </c>
      <c r="C17" s="687"/>
      <c r="D17" s="687"/>
      <c r="E17" s="687"/>
      <c r="F17" s="8"/>
      <c r="G17" s="9"/>
      <c r="H17" s="9"/>
      <c r="I17" s="9"/>
      <c r="J17" s="9"/>
      <c r="K17" s="892"/>
    </row>
    <row r="18" spans="1:11" x14ac:dyDescent="0.25">
      <c r="A18" s="42" t="s">
        <v>9</v>
      </c>
      <c r="B18" s="687" t="s">
        <v>132</v>
      </c>
      <c r="C18" s="687"/>
      <c r="D18" s="687"/>
      <c r="E18" s="687"/>
      <c r="F18" s="8"/>
      <c r="G18" s="9"/>
      <c r="H18" s="9"/>
      <c r="I18" s="9"/>
      <c r="J18" s="9"/>
      <c r="K18" s="892"/>
    </row>
    <row r="19" spans="1:11" x14ac:dyDescent="0.25">
      <c r="A19" s="42" t="s">
        <v>77</v>
      </c>
      <c r="B19" s="687" t="s">
        <v>186</v>
      </c>
      <c r="C19" s="687"/>
      <c r="D19" s="687"/>
      <c r="E19" s="687"/>
      <c r="F19" s="8"/>
      <c r="G19" s="9"/>
      <c r="H19" s="9"/>
      <c r="I19" s="9"/>
      <c r="J19" s="9"/>
      <c r="K19" s="892"/>
    </row>
    <row r="20" spans="1:11" x14ac:dyDescent="0.25">
      <c r="A20" s="42" t="s">
        <v>92</v>
      </c>
      <c r="B20" s="688" t="s">
        <v>135</v>
      </c>
      <c r="C20" s="688"/>
      <c r="D20" s="688"/>
      <c r="E20" s="688"/>
      <c r="F20" s="12"/>
      <c r="G20" s="12"/>
      <c r="H20" s="12"/>
      <c r="I20" s="12"/>
      <c r="J20" s="12"/>
      <c r="K20" s="892"/>
    </row>
    <row r="21" spans="1:11" x14ac:dyDescent="0.25">
      <c r="A21" s="42" t="s">
        <v>137</v>
      </c>
      <c r="B21" s="35" t="s">
        <v>187</v>
      </c>
      <c r="C21" s="35"/>
      <c r="D21" s="35"/>
      <c r="E21" s="35"/>
      <c r="F21" s="12"/>
      <c r="G21" s="12"/>
      <c r="H21" s="12"/>
      <c r="I21" s="12"/>
      <c r="J21" s="12"/>
      <c r="K21" s="892"/>
    </row>
    <row r="22" spans="1:11" x14ac:dyDescent="0.25">
      <c r="A22" s="42" t="s">
        <v>147</v>
      </c>
      <c r="B22" s="35" t="s">
        <v>138</v>
      </c>
      <c r="C22" s="35"/>
      <c r="D22" s="35"/>
      <c r="E22" s="35"/>
      <c r="F22" s="12"/>
      <c r="G22" s="12"/>
      <c r="H22" s="12"/>
      <c r="I22" s="12"/>
      <c r="J22" s="12"/>
      <c r="K22" s="892"/>
    </row>
    <row r="23" spans="1:11" x14ac:dyDescent="0.25">
      <c r="A23" s="42" t="s">
        <v>160</v>
      </c>
      <c r="B23" s="35" t="s">
        <v>152</v>
      </c>
      <c r="C23" s="35"/>
      <c r="D23" s="35"/>
      <c r="E23" s="35"/>
      <c r="F23" s="12"/>
      <c r="G23" s="12"/>
      <c r="H23" s="12"/>
      <c r="I23" s="12"/>
      <c r="J23" s="12"/>
      <c r="K23" s="892"/>
    </row>
    <row r="24" spans="1:11" ht="15.75" customHeight="1" x14ac:dyDescent="0.25">
      <c r="A24" s="42"/>
      <c r="B24" s="35"/>
      <c r="C24" s="35"/>
      <c r="D24" s="35"/>
      <c r="E24" s="35"/>
      <c r="F24" s="12"/>
      <c r="G24" s="12"/>
      <c r="H24" s="12"/>
      <c r="I24" s="12"/>
      <c r="J24" s="12"/>
    </row>
    <row r="25" spans="1:11" ht="15.75" customHeight="1" thickBot="1" x14ac:dyDescent="0.3">
      <c r="A25" s="535"/>
      <c r="B25" s="536"/>
      <c r="C25" s="536"/>
      <c r="D25" s="536"/>
      <c r="E25" s="536"/>
      <c r="F25" s="537"/>
      <c r="G25" s="537"/>
      <c r="H25" s="537"/>
      <c r="I25" s="537"/>
      <c r="J25" s="537"/>
      <c r="K25" s="538"/>
    </row>
    <row r="26" spans="1:11" ht="15.75" customHeight="1" x14ac:dyDescent="0.25">
      <c r="A26" s="701" t="s">
        <v>568</v>
      </c>
      <c r="B26" s="702"/>
      <c r="C26" s="702"/>
      <c r="D26" s="548"/>
      <c r="E26" s="548"/>
      <c r="F26" s="549"/>
      <c r="G26" s="549"/>
      <c r="H26" s="549"/>
      <c r="I26" s="549"/>
      <c r="J26" s="549"/>
      <c r="K26" s="550"/>
    </row>
    <row r="27" spans="1:11" ht="15.75" customHeight="1" x14ac:dyDescent="0.25">
      <c r="A27" s="677" t="s">
        <v>631</v>
      </c>
      <c r="B27" s="678"/>
      <c r="C27" s="678"/>
      <c r="D27" s="678"/>
      <c r="E27" s="678"/>
      <c r="F27" s="678"/>
      <c r="G27" s="678"/>
      <c r="H27" s="678"/>
      <c r="I27" s="678"/>
      <c r="J27" s="678"/>
      <c r="K27" s="679"/>
    </row>
    <row r="28" spans="1:11" ht="15.75" customHeight="1" x14ac:dyDescent="0.25">
      <c r="A28" s="677" t="s">
        <v>628</v>
      </c>
      <c r="B28" s="678"/>
      <c r="C28" s="678"/>
      <c r="D28" s="678"/>
      <c r="E28" s="678"/>
      <c r="F28" s="678"/>
      <c r="G28" s="678"/>
      <c r="H28" s="678"/>
      <c r="I28" s="678"/>
      <c r="J28" s="678"/>
      <c r="K28" s="679"/>
    </row>
    <row r="29" spans="1:11" ht="31.5" customHeight="1" x14ac:dyDescent="0.25">
      <c r="A29" s="893" t="s">
        <v>629</v>
      </c>
      <c r="B29" s="894"/>
      <c r="C29" s="894"/>
      <c r="D29" s="894"/>
      <c r="E29" s="894"/>
      <c r="F29" s="894"/>
      <c r="G29" s="894"/>
      <c r="H29" s="894"/>
      <c r="I29" s="894"/>
      <c r="J29" s="894"/>
      <c r="K29" s="895"/>
    </row>
    <row r="30" spans="1:11" ht="15.75" customHeight="1" x14ac:dyDescent="0.25">
      <c r="A30" s="677" t="s">
        <v>630</v>
      </c>
      <c r="B30" s="678"/>
      <c r="C30" s="678"/>
      <c r="D30" s="678"/>
      <c r="E30" s="678"/>
      <c r="F30" s="678"/>
      <c r="G30" s="678"/>
      <c r="H30" s="678"/>
      <c r="I30" s="678"/>
      <c r="J30" s="678"/>
      <c r="K30" s="679"/>
    </row>
    <row r="31" spans="1:11" ht="15.75" customHeight="1" thickBot="1" x14ac:dyDescent="0.3">
      <c r="A31" s="718" t="s">
        <v>623</v>
      </c>
      <c r="B31" s="719"/>
      <c r="C31" s="719"/>
      <c r="D31" s="719"/>
      <c r="E31" s="719"/>
      <c r="F31" s="719"/>
      <c r="G31" s="719"/>
      <c r="H31" s="719"/>
      <c r="I31" s="719"/>
      <c r="J31" s="719"/>
      <c r="K31" s="720"/>
    </row>
    <row r="32" spans="1:11" ht="15.75" thickBot="1" x14ac:dyDescent="0.3">
      <c r="A32" s="42"/>
      <c r="B32" s="35"/>
      <c r="C32" s="35"/>
      <c r="D32" s="35"/>
      <c r="E32" s="35"/>
      <c r="F32" s="12"/>
      <c r="G32" s="12"/>
      <c r="H32" s="12"/>
      <c r="I32" s="12"/>
      <c r="J32" s="12"/>
    </row>
    <row r="33" spans="1:11" ht="15.75" thickBot="1" x14ac:dyDescent="0.3">
      <c r="A33" s="50" t="s">
        <v>4</v>
      </c>
      <c r="B33" s="663" t="s">
        <v>123</v>
      </c>
      <c r="C33" s="664"/>
      <c r="D33" s="664"/>
      <c r="E33" s="664"/>
      <c r="F33" s="664"/>
      <c r="G33" s="664"/>
      <c r="H33" s="664"/>
      <c r="I33" s="665"/>
      <c r="J33" s="50" t="s">
        <v>10</v>
      </c>
      <c r="K33" s="51" t="s">
        <v>11</v>
      </c>
    </row>
    <row r="34" spans="1:11" x14ac:dyDescent="0.25">
      <c r="A34" s="45" t="s">
        <v>19</v>
      </c>
      <c r="B34" s="684" t="s">
        <v>389</v>
      </c>
      <c r="C34" s="685"/>
      <c r="D34" s="685"/>
      <c r="E34" s="685"/>
      <c r="F34" s="685"/>
      <c r="G34" s="685"/>
      <c r="H34" s="685"/>
      <c r="I34" s="686"/>
      <c r="J34" s="46" t="s">
        <v>124</v>
      </c>
      <c r="K34" s="34">
        <f>'KALKULACIJA CENIK em'!J17</f>
        <v>123.24257472324561</v>
      </c>
    </row>
    <row r="35" spans="1:11" x14ac:dyDescent="0.25">
      <c r="A35" s="20" t="s">
        <v>20</v>
      </c>
      <c r="B35" s="653" t="s">
        <v>388</v>
      </c>
      <c r="C35" s="654"/>
      <c r="D35" s="654"/>
      <c r="E35" s="654"/>
      <c r="F35" s="654"/>
      <c r="G35" s="654"/>
      <c r="H35" s="654"/>
      <c r="I35" s="655"/>
      <c r="J35" s="18" t="s">
        <v>130</v>
      </c>
      <c r="K35" s="34">
        <f>'KALKULACIJA CENIK em'!J31</f>
        <v>2.5792187791275096</v>
      </c>
    </row>
    <row r="36" spans="1:11" ht="28.5" customHeight="1" x14ac:dyDescent="0.25">
      <c r="A36" s="45" t="s">
        <v>21</v>
      </c>
      <c r="B36" s="888" t="s">
        <v>510</v>
      </c>
      <c r="C36" s="889"/>
      <c r="D36" s="889"/>
      <c r="E36" s="889"/>
      <c r="F36" s="889"/>
      <c r="G36" s="889"/>
      <c r="H36" s="889"/>
      <c r="I36" s="890"/>
      <c r="J36" s="18" t="s">
        <v>75</v>
      </c>
      <c r="K36" s="34">
        <f>'KALKULACIJA CENIK em'!J45</f>
        <v>2.4853327668351497</v>
      </c>
    </row>
    <row r="37" spans="1:11" x14ac:dyDescent="0.25">
      <c r="A37" s="20" t="s">
        <v>125</v>
      </c>
      <c r="B37" s="684" t="s">
        <v>395</v>
      </c>
      <c r="C37" s="685"/>
      <c r="D37" s="685"/>
      <c r="E37" s="685"/>
      <c r="F37" s="685"/>
      <c r="G37" s="685"/>
      <c r="H37" s="685"/>
      <c r="I37" s="686"/>
      <c r="J37" s="20" t="s">
        <v>75</v>
      </c>
      <c r="K37" s="34">
        <f>KALKULACIJA_CENIK_št_1!H764</f>
        <v>6.6894570825482713</v>
      </c>
    </row>
    <row r="38" spans="1:11" ht="15.75" thickBot="1" x14ac:dyDescent="0.3">
      <c r="A38" s="4"/>
    </row>
    <row r="39" spans="1:11" ht="15.75" thickBot="1" x14ac:dyDescent="0.3">
      <c r="A39" s="50" t="s">
        <v>5</v>
      </c>
      <c r="B39" s="663" t="s">
        <v>181</v>
      </c>
      <c r="C39" s="664"/>
      <c r="D39" s="664"/>
      <c r="E39" s="664"/>
      <c r="F39" s="664"/>
      <c r="G39" s="664"/>
      <c r="H39" s="664"/>
      <c r="I39" s="665"/>
      <c r="J39" s="50" t="s">
        <v>10</v>
      </c>
      <c r="K39" s="50" t="s">
        <v>11</v>
      </c>
    </row>
    <row r="40" spans="1:11" ht="33" customHeight="1" x14ac:dyDescent="0.25">
      <c r="A40" s="19" t="s">
        <v>116</v>
      </c>
      <c r="B40" s="666" t="s">
        <v>399</v>
      </c>
      <c r="C40" s="666"/>
      <c r="D40" s="666"/>
      <c r="E40" s="666"/>
      <c r="F40" s="666"/>
      <c r="G40" s="666"/>
      <c r="H40" s="666"/>
      <c r="I40" s="666"/>
      <c r="J40" s="25" t="s">
        <v>129</v>
      </c>
      <c r="K40" s="37">
        <f>'KALKULACIJA CENIK em'!J60</f>
        <v>167.49882649967168</v>
      </c>
    </row>
    <row r="41" spans="1:11" ht="45" customHeight="1" x14ac:dyDescent="0.25">
      <c r="A41" s="20" t="s">
        <v>117</v>
      </c>
      <c r="B41" s="666" t="s">
        <v>400</v>
      </c>
      <c r="C41" s="666"/>
      <c r="D41" s="666"/>
      <c r="E41" s="666"/>
      <c r="F41" s="666"/>
      <c r="G41" s="666"/>
      <c r="H41" s="666"/>
      <c r="I41" s="666"/>
      <c r="J41" s="25" t="s">
        <v>129</v>
      </c>
      <c r="K41" s="37">
        <f>'KALKULACIJA CENIK em'!J73</f>
        <v>260.55426978431251</v>
      </c>
    </row>
    <row r="42" spans="1:11" ht="35.25" customHeight="1" x14ac:dyDescent="0.25">
      <c r="A42" s="19" t="s">
        <v>118</v>
      </c>
      <c r="B42" s="666" t="s">
        <v>402</v>
      </c>
      <c r="C42" s="666"/>
      <c r="D42" s="666"/>
      <c r="E42" s="666"/>
      <c r="F42" s="666"/>
      <c r="G42" s="666"/>
      <c r="H42" s="666"/>
      <c r="I42" s="666"/>
      <c r="J42" s="25" t="s">
        <v>130</v>
      </c>
      <c r="K42" s="37">
        <f>'KALKULACIJA CENIK em'!J86</f>
        <v>2.2751969697297527</v>
      </c>
    </row>
    <row r="43" spans="1:11" x14ac:dyDescent="0.25">
      <c r="A43" s="40"/>
      <c r="B43" s="57"/>
      <c r="C43" s="57"/>
      <c r="D43" s="57"/>
      <c r="E43" s="57"/>
      <c r="F43" s="57"/>
      <c r="G43" s="57"/>
      <c r="H43" s="57"/>
      <c r="I43" s="57"/>
      <c r="J43" s="4"/>
      <c r="K43" s="39"/>
    </row>
    <row r="44" spans="1:11" ht="15.75" thickBot="1" x14ac:dyDescent="0.3">
      <c r="A44" s="40"/>
      <c r="B44" s="57"/>
      <c r="C44" s="57"/>
      <c r="D44" s="57"/>
      <c r="E44" s="57"/>
      <c r="F44" s="57"/>
      <c r="G44" s="57"/>
      <c r="H44" s="57"/>
      <c r="I44" s="57"/>
      <c r="J44" s="4"/>
      <c r="K44" s="39"/>
    </row>
    <row r="45" spans="1:11" ht="15.75" thickBot="1" x14ac:dyDescent="0.3">
      <c r="A45" s="50" t="s">
        <v>6</v>
      </c>
      <c r="B45" s="663" t="s">
        <v>151</v>
      </c>
      <c r="C45" s="664"/>
      <c r="D45" s="664"/>
      <c r="E45" s="664"/>
      <c r="F45" s="664"/>
      <c r="G45" s="664"/>
      <c r="H45" s="664"/>
      <c r="I45" s="665"/>
      <c r="J45" s="50" t="s">
        <v>10</v>
      </c>
      <c r="K45" s="50" t="s">
        <v>11</v>
      </c>
    </row>
    <row r="46" spans="1:11" ht="21.75" customHeight="1" x14ac:dyDescent="0.25">
      <c r="A46" s="19" t="s">
        <v>27</v>
      </c>
      <c r="B46" s="662" t="s">
        <v>407</v>
      </c>
      <c r="C46" s="662"/>
      <c r="D46" s="662"/>
      <c r="E46" s="662"/>
      <c r="F46" s="662"/>
      <c r="G46" s="662"/>
      <c r="H46" s="662"/>
      <c r="I46" s="662"/>
      <c r="J46" s="25" t="s">
        <v>131</v>
      </c>
      <c r="K46" s="34">
        <f>'KALKULACIJA CENIK em'!J94</f>
        <v>51.868768857084895</v>
      </c>
    </row>
    <row r="47" spans="1:11" ht="17.25" customHeight="1" x14ac:dyDescent="0.25">
      <c r="A47" s="19" t="s">
        <v>28</v>
      </c>
      <c r="B47" s="662" t="s">
        <v>408</v>
      </c>
      <c r="C47" s="662"/>
      <c r="D47" s="662"/>
      <c r="E47" s="662"/>
      <c r="F47" s="662"/>
      <c r="G47" s="662"/>
      <c r="H47" s="662"/>
      <c r="I47" s="662"/>
      <c r="J47" s="25" t="s">
        <v>131</v>
      </c>
      <c r="K47" s="34">
        <f>'KALKULACIJA CENIK em'!J104</f>
        <v>17.263484968469768</v>
      </c>
    </row>
    <row r="48" spans="1:11" ht="30.75" customHeight="1" x14ac:dyDescent="0.25">
      <c r="A48" s="19" t="s">
        <v>29</v>
      </c>
      <c r="B48" s="666" t="s">
        <v>414</v>
      </c>
      <c r="C48" s="666"/>
      <c r="D48" s="666"/>
      <c r="E48" s="666"/>
      <c r="F48" s="666"/>
      <c r="G48" s="666"/>
      <c r="H48" s="666"/>
      <c r="I48" s="666"/>
      <c r="J48" s="25" t="s">
        <v>131</v>
      </c>
      <c r="K48" s="37">
        <f>'KALKULACIJA CENIK em'!J114</f>
        <v>24.379039764133807</v>
      </c>
    </row>
    <row r="49" spans="1:11" ht="15.75" thickBot="1" x14ac:dyDescent="0.3">
      <c r="A49" s="22"/>
      <c r="B49" s="23"/>
      <c r="C49" s="23"/>
      <c r="D49" s="23"/>
      <c r="E49" s="23"/>
      <c r="F49" s="23"/>
      <c r="G49" s="23"/>
      <c r="H49" s="23"/>
      <c r="I49" s="23"/>
      <c r="J49" s="24"/>
      <c r="K49" s="38"/>
    </row>
    <row r="50" spans="1:11" ht="15.75" thickBot="1" x14ac:dyDescent="0.3">
      <c r="A50" s="50" t="s">
        <v>9</v>
      </c>
      <c r="B50" s="663" t="s">
        <v>132</v>
      </c>
      <c r="C50" s="664"/>
      <c r="D50" s="664"/>
      <c r="E50" s="664"/>
      <c r="F50" s="664"/>
      <c r="G50" s="664"/>
      <c r="H50" s="664"/>
      <c r="I50" s="665"/>
      <c r="J50" s="50" t="s">
        <v>10</v>
      </c>
      <c r="K50" s="50" t="s">
        <v>11</v>
      </c>
    </row>
    <row r="51" spans="1:11" x14ac:dyDescent="0.25">
      <c r="A51" s="19" t="s">
        <v>52</v>
      </c>
      <c r="B51" s="653" t="s">
        <v>640</v>
      </c>
      <c r="C51" s="654"/>
      <c r="D51" s="654"/>
      <c r="E51" s="654"/>
      <c r="F51" s="654"/>
      <c r="G51" s="654"/>
      <c r="H51" s="654"/>
      <c r="I51" s="655"/>
      <c r="J51" s="18" t="s">
        <v>130</v>
      </c>
      <c r="K51" s="34">
        <f>'KALKULACIJA CENIK em'!J131</f>
        <v>34.20164603617534</v>
      </c>
    </row>
    <row r="52" spans="1:11" x14ac:dyDescent="0.25">
      <c r="A52" s="19" t="s">
        <v>54</v>
      </c>
      <c r="B52" s="653" t="s">
        <v>639</v>
      </c>
      <c r="C52" s="654"/>
      <c r="D52" s="654"/>
      <c r="E52" s="654"/>
      <c r="F52" s="654"/>
      <c r="G52" s="654"/>
      <c r="H52" s="654"/>
      <c r="I52" s="655"/>
      <c r="J52" s="18" t="s">
        <v>130</v>
      </c>
      <c r="K52" s="34">
        <f>'KALKULACIJA CENIK em'!J145</f>
        <v>29.014769150466854</v>
      </c>
    </row>
    <row r="53" spans="1:11" ht="15.75" thickBot="1" x14ac:dyDescent="0.3">
      <c r="A53" s="22"/>
      <c r="B53" s="23"/>
      <c r="C53" s="23"/>
      <c r="D53" s="23"/>
      <c r="E53" s="23"/>
      <c r="F53" s="23"/>
      <c r="G53" s="23"/>
      <c r="H53" s="23"/>
      <c r="I53" s="23"/>
      <c r="J53" s="24"/>
      <c r="K53" s="38"/>
    </row>
    <row r="54" spans="1:11" ht="15.75" thickBot="1" x14ac:dyDescent="0.3">
      <c r="A54" s="50" t="s">
        <v>77</v>
      </c>
      <c r="B54" s="663" t="s">
        <v>133</v>
      </c>
      <c r="C54" s="664"/>
      <c r="D54" s="664"/>
      <c r="E54" s="664"/>
      <c r="F54" s="664"/>
      <c r="G54" s="664"/>
      <c r="H54" s="664"/>
      <c r="I54" s="665"/>
      <c r="J54" s="50" t="s">
        <v>10</v>
      </c>
      <c r="K54" s="50" t="s">
        <v>11</v>
      </c>
    </row>
    <row r="55" spans="1:11" x14ac:dyDescent="0.25">
      <c r="A55" s="19" t="s">
        <v>78</v>
      </c>
      <c r="B55" s="653" t="s">
        <v>641</v>
      </c>
      <c r="C55" s="654"/>
      <c r="D55" s="654"/>
      <c r="E55" s="654"/>
      <c r="F55" s="654"/>
      <c r="G55" s="654"/>
      <c r="H55" s="654"/>
      <c r="I55" s="655"/>
      <c r="J55" s="18" t="s">
        <v>134</v>
      </c>
      <c r="K55" s="34">
        <f>'KALKULACIJA CENIK em'!J160</f>
        <v>4.3406588570897373</v>
      </c>
    </row>
    <row r="56" spans="1:11" ht="15.75" thickBot="1" x14ac:dyDescent="0.3">
      <c r="A56" s="4"/>
      <c r="K56" s="39"/>
    </row>
    <row r="57" spans="1:11" ht="29.25" customHeight="1" thickBot="1" x14ac:dyDescent="0.3">
      <c r="A57" s="50" t="s">
        <v>92</v>
      </c>
      <c r="B57" s="663" t="s">
        <v>135</v>
      </c>
      <c r="C57" s="664"/>
      <c r="D57" s="664"/>
      <c r="E57" s="664"/>
      <c r="F57" s="664"/>
      <c r="G57" s="664"/>
      <c r="H57" s="664"/>
      <c r="I57" s="665"/>
      <c r="J57" s="50" t="s">
        <v>10</v>
      </c>
      <c r="K57" s="50" t="s">
        <v>11</v>
      </c>
    </row>
    <row r="58" spans="1:11" ht="31.5" customHeight="1" x14ac:dyDescent="0.25">
      <c r="A58" s="19" t="s">
        <v>93</v>
      </c>
      <c r="B58" s="888" t="s">
        <v>642</v>
      </c>
      <c r="C58" s="889"/>
      <c r="D58" s="889"/>
      <c r="E58" s="889"/>
      <c r="F58" s="889"/>
      <c r="G58" s="889"/>
      <c r="H58" s="889"/>
      <c r="I58" s="890"/>
      <c r="J58" s="18" t="s">
        <v>130</v>
      </c>
      <c r="K58" s="34">
        <f>'KALKULACIJA CENIK em'!J175</f>
        <v>89.962896113731333</v>
      </c>
    </row>
    <row r="59" spans="1:11" ht="32.25" customHeight="1" x14ac:dyDescent="0.25">
      <c r="A59" s="20" t="s">
        <v>94</v>
      </c>
      <c r="B59" s="666" t="s">
        <v>413</v>
      </c>
      <c r="C59" s="666"/>
      <c r="D59" s="666"/>
      <c r="E59" s="666"/>
      <c r="F59" s="666"/>
      <c r="G59" s="666"/>
      <c r="H59" s="666"/>
      <c r="I59" s="666"/>
      <c r="J59" s="18" t="s">
        <v>130</v>
      </c>
      <c r="K59" s="37">
        <f>'KALKULACIJA CENIK em'!J186</f>
        <v>70.01289611373133</v>
      </c>
    </row>
    <row r="60" spans="1:11" ht="18" customHeight="1" x14ac:dyDescent="0.25">
      <c r="A60" s="20" t="s">
        <v>95</v>
      </c>
      <c r="B60" s="662" t="s">
        <v>417</v>
      </c>
      <c r="C60" s="662"/>
      <c r="D60" s="662"/>
      <c r="E60" s="662"/>
      <c r="F60" s="662"/>
      <c r="G60" s="662"/>
      <c r="H60" s="662"/>
      <c r="I60" s="662"/>
      <c r="J60" s="25" t="s">
        <v>75</v>
      </c>
      <c r="K60" s="37">
        <f>'KALKULACIJA CENIK em'!J197</f>
        <v>35.618103602427595</v>
      </c>
    </row>
    <row r="61" spans="1:11" ht="17.25" customHeight="1" x14ac:dyDescent="0.25">
      <c r="A61" s="20" t="s">
        <v>96</v>
      </c>
      <c r="B61" s="891" t="s">
        <v>421</v>
      </c>
      <c r="C61" s="891"/>
      <c r="D61" s="891"/>
      <c r="E61" s="891"/>
      <c r="F61" s="891"/>
      <c r="G61" s="891"/>
      <c r="H61" s="891"/>
      <c r="I61" s="891"/>
      <c r="J61" s="18" t="s">
        <v>129</v>
      </c>
      <c r="K61" s="34">
        <f>'KALKULACIJA CENIK em'!J209</f>
        <v>71.086975335087743</v>
      </c>
    </row>
    <row r="62" spans="1:11" ht="15.75" thickBot="1" x14ac:dyDescent="0.3">
      <c r="A62" s="40"/>
      <c r="B62" s="672"/>
      <c r="C62" s="672"/>
      <c r="D62" s="672"/>
      <c r="E62" s="672"/>
      <c r="F62" s="672"/>
      <c r="G62" s="672"/>
      <c r="H62" s="672"/>
      <c r="I62" s="672"/>
      <c r="J62" s="4"/>
      <c r="K62" s="39"/>
    </row>
    <row r="63" spans="1:11" ht="15.75" thickBot="1" x14ac:dyDescent="0.3">
      <c r="A63" s="50" t="s">
        <v>137</v>
      </c>
      <c r="B63" s="663" t="s">
        <v>136</v>
      </c>
      <c r="C63" s="664"/>
      <c r="D63" s="664"/>
      <c r="E63" s="664"/>
      <c r="F63" s="664"/>
      <c r="G63" s="664"/>
      <c r="H63" s="664"/>
      <c r="I63" s="665"/>
      <c r="J63" s="50" t="s">
        <v>10</v>
      </c>
      <c r="K63" s="50" t="s">
        <v>11</v>
      </c>
    </row>
    <row r="64" spans="1:11" x14ac:dyDescent="0.25">
      <c r="A64" s="20" t="s">
        <v>139</v>
      </c>
      <c r="B64" s="888" t="s">
        <v>425</v>
      </c>
      <c r="C64" s="889"/>
      <c r="D64" s="889"/>
      <c r="E64" s="889"/>
      <c r="F64" s="889"/>
      <c r="G64" s="889"/>
      <c r="H64" s="889"/>
      <c r="I64" s="890"/>
      <c r="J64" s="25" t="s">
        <v>130</v>
      </c>
      <c r="K64" s="37">
        <f>'KALKULACIJA CENIK em'!J225</f>
        <v>27.801380169631877</v>
      </c>
    </row>
    <row r="65" spans="1:11" x14ac:dyDescent="0.25">
      <c r="A65" s="19" t="s">
        <v>140</v>
      </c>
      <c r="B65" s="653" t="s">
        <v>424</v>
      </c>
      <c r="C65" s="654"/>
      <c r="D65" s="654"/>
      <c r="E65" s="654"/>
      <c r="F65" s="654"/>
      <c r="G65" s="654"/>
      <c r="H65" s="654"/>
      <c r="I65" s="655"/>
      <c r="J65" s="25" t="s">
        <v>130</v>
      </c>
      <c r="K65" s="37">
        <f>'KALKULACIJA CENIK em'!J238</f>
        <v>23.601039421851407</v>
      </c>
    </row>
    <row r="66" spans="1:11" x14ac:dyDescent="0.25">
      <c r="A66" s="20" t="s">
        <v>141</v>
      </c>
      <c r="B66" s="653" t="s">
        <v>426</v>
      </c>
      <c r="C66" s="654"/>
      <c r="D66" s="654"/>
      <c r="E66" s="654"/>
      <c r="F66" s="654"/>
      <c r="G66" s="654"/>
      <c r="H66" s="654"/>
      <c r="I66" s="655"/>
      <c r="J66" s="25" t="s">
        <v>130</v>
      </c>
      <c r="K66" s="37">
        <f>'KALKULACIJA CENIK em'!J252</f>
        <v>13.056355526571865</v>
      </c>
    </row>
    <row r="67" spans="1:11" x14ac:dyDescent="0.25">
      <c r="A67" s="19" t="s">
        <v>142</v>
      </c>
      <c r="B67" s="888" t="s">
        <v>427</v>
      </c>
      <c r="C67" s="889"/>
      <c r="D67" s="889"/>
      <c r="E67" s="889"/>
      <c r="F67" s="889"/>
      <c r="G67" s="889"/>
      <c r="H67" s="889"/>
      <c r="I67" s="890"/>
      <c r="J67" s="25" t="s">
        <v>130</v>
      </c>
      <c r="K67" s="37">
        <f>'KALKULACIJA CENIK em'!J266</f>
        <v>32.577145085291718</v>
      </c>
    </row>
    <row r="68" spans="1:11" x14ac:dyDescent="0.25">
      <c r="A68" s="20" t="s">
        <v>144</v>
      </c>
      <c r="B68" s="653" t="s">
        <v>429</v>
      </c>
      <c r="C68" s="654"/>
      <c r="D68" s="654"/>
      <c r="E68" s="654"/>
      <c r="F68" s="654"/>
      <c r="G68" s="654"/>
      <c r="H68" s="654"/>
      <c r="I68" s="655"/>
      <c r="J68" s="25" t="s">
        <v>130</v>
      </c>
      <c r="K68" s="34">
        <f>'KALKULACIJA CENIK em'!J279</f>
        <v>25.516228464444762</v>
      </c>
    </row>
    <row r="69" spans="1:11" x14ac:dyDescent="0.25">
      <c r="A69" s="19" t="s">
        <v>145</v>
      </c>
      <c r="B69" s="653" t="s">
        <v>431</v>
      </c>
      <c r="C69" s="654"/>
      <c r="D69" s="654"/>
      <c r="E69" s="654"/>
      <c r="F69" s="654"/>
      <c r="G69" s="654"/>
      <c r="H69" s="654"/>
      <c r="I69" s="655"/>
      <c r="J69" s="25" t="s">
        <v>130</v>
      </c>
      <c r="K69" s="37">
        <f>'KALKULACIJA CENIK em'!J293</f>
        <v>15.151640480836219</v>
      </c>
    </row>
    <row r="70" spans="1:11" x14ac:dyDescent="0.25">
      <c r="A70" s="20" t="s">
        <v>146</v>
      </c>
      <c r="B70" s="653" t="s">
        <v>415</v>
      </c>
      <c r="C70" s="654"/>
      <c r="D70" s="654"/>
      <c r="E70" s="654"/>
      <c r="F70" s="654"/>
      <c r="G70" s="654"/>
      <c r="H70" s="654"/>
      <c r="I70" s="655"/>
      <c r="J70" s="25" t="s">
        <v>130</v>
      </c>
      <c r="K70" s="37">
        <f>'KALKULACIJA CENIK em'!J304</f>
        <v>27.055540413806405</v>
      </c>
    </row>
    <row r="71" spans="1:11" x14ac:dyDescent="0.25">
      <c r="A71" s="20" t="s">
        <v>492</v>
      </c>
      <c r="B71" s="653" t="s">
        <v>489</v>
      </c>
      <c r="C71" s="654"/>
      <c r="D71" s="654"/>
      <c r="E71" s="654"/>
      <c r="F71" s="654"/>
      <c r="G71" s="654"/>
      <c r="H71" s="654"/>
      <c r="I71" s="655"/>
      <c r="J71" s="25" t="s">
        <v>130</v>
      </c>
      <c r="K71" s="34">
        <f>'KALKULACIJA CENIK em'!J314</f>
        <v>3.2107072518533717</v>
      </c>
    </row>
    <row r="72" spans="1:11" x14ac:dyDescent="0.25">
      <c r="A72" s="19" t="s">
        <v>493</v>
      </c>
      <c r="B72" s="653" t="s">
        <v>490</v>
      </c>
      <c r="C72" s="654"/>
      <c r="D72" s="654"/>
      <c r="E72" s="654"/>
      <c r="F72" s="654"/>
      <c r="G72" s="654"/>
      <c r="H72" s="654"/>
      <c r="I72" s="655"/>
      <c r="J72" s="25" t="s">
        <v>130</v>
      </c>
      <c r="K72" s="37">
        <f>'KALKULACIJA CENIK em'!J324</f>
        <v>2.2969372106878176</v>
      </c>
    </row>
    <row r="73" spans="1:11" x14ac:dyDescent="0.25">
      <c r="A73" s="20" t="s">
        <v>494</v>
      </c>
      <c r="B73" s="653" t="s">
        <v>491</v>
      </c>
      <c r="C73" s="654"/>
      <c r="D73" s="654"/>
      <c r="E73" s="654"/>
      <c r="F73" s="654"/>
      <c r="G73" s="654"/>
      <c r="H73" s="654"/>
      <c r="I73" s="655"/>
      <c r="J73" s="25" t="s">
        <v>130</v>
      </c>
      <c r="K73" s="37">
        <f>'KALKULACIJA CENIK em'!J334</f>
        <v>1.5312914737918786</v>
      </c>
    </row>
    <row r="74" spans="1:11" ht="15.75" thickBot="1" x14ac:dyDescent="0.3"/>
    <row r="75" spans="1:11" ht="15.75" thickBot="1" x14ac:dyDescent="0.3">
      <c r="A75" s="50" t="s">
        <v>147</v>
      </c>
      <c r="B75" s="663" t="s">
        <v>169</v>
      </c>
      <c r="C75" s="664" t="s">
        <v>143</v>
      </c>
      <c r="D75" s="664" t="s">
        <v>143</v>
      </c>
      <c r="E75" s="664" t="s">
        <v>143</v>
      </c>
      <c r="F75" s="664" t="s">
        <v>143</v>
      </c>
      <c r="G75" s="664" t="s">
        <v>143</v>
      </c>
      <c r="H75" s="664" t="s">
        <v>143</v>
      </c>
      <c r="I75" s="665" t="s">
        <v>143</v>
      </c>
      <c r="J75" s="50" t="s">
        <v>10</v>
      </c>
      <c r="K75" s="50" t="s">
        <v>11</v>
      </c>
    </row>
    <row r="76" spans="1:11" x14ac:dyDescent="0.25">
      <c r="A76" s="19" t="s">
        <v>155</v>
      </c>
      <c r="B76" s="653" t="s">
        <v>433</v>
      </c>
      <c r="C76" s="654"/>
      <c r="D76" s="654"/>
      <c r="E76" s="654"/>
      <c r="F76" s="654"/>
      <c r="G76" s="654"/>
      <c r="H76" s="654"/>
      <c r="I76" s="655"/>
      <c r="J76" s="25" t="s">
        <v>130</v>
      </c>
      <c r="K76" s="406">
        <f>'KALKULACIJA CENIK em'!J349</f>
        <v>0.10151263210912262</v>
      </c>
    </row>
    <row r="77" spans="1:11" x14ac:dyDescent="0.25">
      <c r="A77" s="19" t="s">
        <v>156</v>
      </c>
      <c r="B77" s="653" t="s">
        <v>434</v>
      </c>
      <c r="C77" s="654"/>
      <c r="D77" s="654"/>
      <c r="E77" s="654"/>
      <c r="F77" s="654"/>
      <c r="G77" s="654"/>
      <c r="H77" s="654"/>
      <c r="I77" s="655"/>
      <c r="J77" s="25" t="s">
        <v>130</v>
      </c>
      <c r="K77" s="406">
        <f>'KALKULACIJA CENIK em'!J361</f>
        <v>5.8774164988349802E-2</v>
      </c>
    </row>
    <row r="78" spans="1:11" x14ac:dyDescent="0.25">
      <c r="A78" s="19" t="s">
        <v>157</v>
      </c>
      <c r="B78" s="666" t="s">
        <v>435</v>
      </c>
      <c r="C78" s="666"/>
      <c r="D78" s="666"/>
      <c r="E78" s="666"/>
      <c r="F78" s="666"/>
      <c r="G78" s="666"/>
      <c r="H78" s="666"/>
      <c r="I78" s="666"/>
      <c r="J78" s="25" t="s">
        <v>130</v>
      </c>
      <c r="K78" s="407">
        <f>'KALKULACIJA CENIK em'!J374</f>
        <v>0.29199986893510577</v>
      </c>
    </row>
    <row r="79" spans="1:11" x14ac:dyDescent="0.25">
      <c r="A79" s="19" t="s">
        <v>158</v>
      </c>
      <c r="B79" s="666" t="s">
        <v>436</v>
      </c>
      <c r="C79" s="666"/>
      <c r="D79" s="666"/>
      <c r="E79" s="666"/>
      <c r="F79" s="666"/>
      <c r="G79" s="666"/>
      <c r="H79" s="666"/>
      <c r="I79" s="666"/>
      <c r="J79" s="25" t="s">
        <v>130</v>
      </c>
      <c r="K79" s="407">
        <f>'KALKULACIJA CENIK em'!J385</f>
        <v>0.36039758082247753</v>
      </c>
    </row>
    <row r="80" spans="1:11" ht="32.25" customHeight="1" x14ac:dyDescent="0.25">
      <c r="A80" s="19" t="s">
        <v>159</v>
      </c>
      <c r="B80" s="666" t="s">
        <v>437</v>
      </c>
      <c r="C80" s="666"/>
      <c r="D80" s="666"/>
      <c r="E80" s="666"/>
      <c r="F80" s="666"/>
      <c r="G80" s="666"/>
      <c r="H80" s="666"/>
      <c r="I80" s="666"/>
      <c r="J80" s="25" t="s">
        <v>130</v>
      </c>
      <c r="K80" s="407">
        <f>'KALKULACIJA CENIK em'!J400</f>
        <v>0.81232940716364199</v>
      </c>
    </row>
    <row r="81" spans="1:11" ht="15.75" thickBot="1" x14ac:dyDescent="0.3"/>
    <row r="82" spans="1:11" ht="15.75" thickBot="1" x14ac:dyDescent="0.3">
      <c r="A82" s="50" t="s">
        <v>160</v>
      </c>
      <c r="B82" s="667" t="s">
        <v>152</v>
      </c>
      <c r="C82" s="668" t="s">
        <v>143</v>
      </c>
      <c r="D82" s="668" t="s">
        <v>143</v>
      </c>
      <c r="E82" s="668" t="s">
        <v>143</v>
      </c>
      <c r="F82" s="668" t="s">
        <v>143</v>
      </c>
      <c r="G82" s="668" t="s">
        <v>143</v>
      </c>
      <c r="H82" s="668" t="s">
        <v>143</v>
      </c>
      <c r="I82" s="669" t="s">
        <v>143</v>
      </c>
      <c r="J82" s="50" t="s">
        <v>10</v>
      </c>
      <c r="K82" s="50" t="s">
        <v>11</v>
      </c>
    </row>
    <row r="83" spans="1:11" ht="15.75" customHeight="1" x14ac:dyDescent="0.25">
      <c r="A83" s="19" t="s">
        <v>161</v>
      </c>
      <c r="B83" s="653" t="s">
        <v>534</v>
      </c>
      <c r="C83" s="654"/>
      <c r="D83" s="654"/>
      <c r="E83" s="654"/>
      <c r="F83" s="654"/>
      <c r="G83" s="654"/>
      <c r="H83" s="654"/>
      <c r="I83" s="655"/>
      <c r="J83" s="25" t="s">
        <v>127</v>
      </c>
      <c r="K83" s="37">
        <f>'KALKULACIJA CENIK em'!J414</f>
        <v>9.4140962518487719</v>
      </c>
    </row>
    <row r="84" spans="1:11" ht="28.5" customHeight="1" x14ac:dyDescent="0.25">
      <c r="A84" s="20" t="s">
        <v>162</v>
      </c>
      <c r="B84" s="695" t="s">
        <v>439</v>
      </c>
      <c r="C84" s="696"/>
      <c r="D84" s="696"/>
      <c r="E84" s="696"/>
      <c r="F84" s="696"/>
      <c r="G84" s="696"/>
      <c r="H84" s="696"/>
      <c r="I84" s="697"/>
      <c r="J84" s="19" t="s">
        <v>124</v>
      </c>
      <c r="K84" s="37">
        <f>'KALKULACIJA CENIK em'!J426</f>
        <v>344.06809568299946</v>
      </c>
    </row>
    <row r="85" spans="1:11" ht="27" customHeight="1" x14ac:dyDescent="0.25">
      <c r="A85" s="19" t="s">
        <v>163</v>
      </c>
      <c r="B85" s="695" t="s">
        <v>440</v>
      </c>
      <c r="C85" s="696"/>
      <c r="D85" s="696"/>
      <c r="E85" s="696"/>
      <c r="F85" s="696"/>
      <c r="G85" s="696"/>
      <c r="H85" s="696"/>
      <c r="I85" s="697"/>
      <c r="J85" s="18" t="s">
        <v>124</v>
      </c>
      <c r="K85" s="37">
        <f>'KALKULACIJA CENIK em'!J438</f>
        <v>383.98722313856337</v>
      </c>
    </row>
    <row r="86" spans="1:11" x14ac:dyDescent="0.25">
      <c r="A86" s="20" t="s">
        <v>188</v>
      </c>
      <c r="B86" s="653" t="s">
        <v>441</v>
      </c>
      <c r="C86" s="654"/>
      <c r="D86" s="654"/>
      <c r="E86" s="654"/>
      <c r="F86" s="654"/>
      <c r="G86" s="654"/>
      <c r="H86" s="654"/>
      <c r="I86" s="655"/>
      <c r="J86" s="25" t="s">
        <v>124</v>
      </c>
      <c r="K86" s="37">
        <f>'KALKULACIJA CENIK em'!J449</f>
        <v>231.95860533123061</v>
      </c>
    </row>
    <row r="87" spans="1:11" x14ac:dyDescent="0.25">
      <c r="A87" s="19" t="s">
        <v>189</v>
      </c>
      <c r="B87" s="653" t="s">
        <v>442</v>
      </c>
      <c r="C87" s="654"/>
      <c r="D87" s="654"/>
      <c r="E87" s="654"/>
      <c r="F87" s="654"/>
      <c r="G87" s="654"/>
      <c r="H87" s="654"/>
      <c r="I87" s="655"/>
      <c r="J87" s="25" t="s">
        <v>124</v>
      </c>
      <c r="K87" s="37">
        <f>'KALKULACIJA CENIK em'!J461</f>
        <v>502.4395784697939</v>
      </c>
    </row>
    <row r="88" spans="1:11" x14ac:dyDescent="0.25">
      <c r="A88" s="19" t="s">
        <v>190</v>
      </c>
      <c r="B88" s="695" t="s">
        <v>507</v>
      </c>
      <c r="C88" s="696"/>
      <c r="D88" s="696"/>
      <c r="E88" s="696"/>
      <c r="F88" s="696"/>
      <c r="G88" s="696"/>
      <c r="H88" s="696"/>
      <c r="I88" s="697"/>
      <c r="J88" s="18" t="s">
        <v>124</v>
      </c>
      <c r="K88" s="37">
        <f>'KALKULACIJA CENIK em'!J469</f>
        <v>181.12453039970666</v>
      </c>
    </row>
    <row r="89" spans="1:11" x14ac:dyDescent="0.25">
      <c r="A89" s="20" t="s">
        <v>501</v>
      </c>
      <c r="B89" s="684" t="s">
        <v>638</v>
      </c>
      <c r="C89" s="654"/>
      <c r="D89" s="654"/>
      <c r="E89" s="654"/>
      <c r="F89" s="654"/>
      <c r="G89" s="654"/>
      <c r="H89" s="654"/>
      <c r="I89" s="655"/>
      <c r="J89" s="25" t="s">
        <v>124</v>
      </c>
      <c r="K89" s="37">
        <f>'KALKULACIJA CENIK em'!J477</f>
        <v>602.44109382390661</v>
      </c>
    </row>
    <row r="90" spans="1:11" x14ac:dyDescent="0.25">
      <c r="A90" s="19" t="s">
        <v>505</v>
      </c>
      <c r="B90" s="653" t="s">
        <v>508</v>
      </c>
      <c r="C90" s="654"/>
      <c r="D90" s="654"/>
      <c r="E90" s="654"/>
      <c r="F90" s="654"/>
      <c r="G90" s="654"/>
      <c r="H90" s="654"/>
      <c r="I90" s="655"/>
      <c r="J90" s="25" t="s">
        <v>124</v>
      </c>
      <c r="K90" s="37">
        <f>'KALKULACIJA CENIK em'!J485</f>
        <v>30.881185311882732</v>
      </c>
    </row>
    <row r="91" spans="1:11" x14ac:dyDescent="0.25">
      <c r="A91" s="19" t="s">
        <v>506</v>
      </c>
      <c r="B91" s="653" t="s">
        <v>579</v>
      </c>
      <c r="C91" s="654"/>
      <c r="D91" s="654"/>
      <c r="E91" s="654"/>
      <c r="F91" s="654"/>
      <c r="G91" s="654"/>
      <c r="H91" s="654"/>
      <c r="I91" s="655"/>
      <c r="J91" s="25" t="s">
        <v>124</v>
      </c>
      <c r="K91" s="37">
        <f>'KALKULACIJA CENIK em'!J493</f>
        <v>602.44109382390661</v>
      </c>
    </row>
    <row r="93" spans="1:11" x14ac:dyDescent="0.25">
      <c r="B93" s="104"/>
      <c r="C93" s="104"/>
      <c r="D93" s="104"/>
      <c r="E93" s="104"/>
      <c r="F93" s="104"/>
      <c r="G93" s="104"/>
      <c r="H93" s="104"/>
      <c r="I93" s="104"/>
      <c r="J93" s="104"/>
    </row>
    <row r="94" spans="1:11" x14ac:dyDescent="0.25">
      <c r="A94" s="656" t="s">
        <v>667</v>
      </c>
      <c r="B94" s="656"/>
      <c r="C94" s="656"/>
      <c r="D94" s="656"/>
      <c r="E94" s="104"/>
      <c r="F94" s="104"/>
      <c r="G94" s="656" t="s">
        <v>632</v>
      </c>
      <c r="H94" s="656"/>
      <c r="I94" s="656"/>
      <c r="J94" s="656"/>
      <c r="K94" s="656"/>
    </row>
    <row r="95" spans="1:11" x14ac:dyDescent="0.25">
      <c r="B95" s="104"/>
      <c r="C95" s="104"/>
      <c r="D95" s="104"/>
      <c r="E95" s="104"/>
      <c r="F95" s="104"/>
      <c r="G95" s="656" t="s">
        <v>633</v>
      </c>
      <c r="H95" s="657"/>
      <c r="I95" s="657"/>
      <c r="J95" s="657"/>
      <c r="K95" s="657"/>
    </row>
    <row r="96" spans="1:11" x14ac:dyDescent="0.25">
      <c r="G96" s="656" t="s">
        <v>637</v>
      </c>
      <c r="H96" s="657"/>
      <c r="I96" s="657"/>
      <c r="J96" s="657"/>
      <c r="K96" s="657"/>
    </row>
  </sheetData>
  <sheetProtection selectLockedCells="1" selectUnlockedCells="1"/>
  <mergeCells count="74">
    <mergeCell ref="C11:E11"/>
    <mergeCell ref="B80:I80"/>
    <mergeCell ref="B86:I86"/>
    <mergeCell ref="B70:I70"/>
    <mergeCell ref="B76:I76"/>
    <mergeCell ref="B78:I78"/>
    <mergeCell ref="B77:I77"/>
    <mergeCell ref="B75:I75"/>
    <mergeCell ref="B79:I79"/>
    <mergeCell ref="B16:E16"/>
    <mergeCell ref="B17:E17"/>
    <mergeCell ref="B50:I50"/>
    <mergeCell ref="B51:I51"/>
    <mergeCell ref="B82:I82"/>
    <mergeCell ref="B40:I40"/>
    <mergeCell ref="B57:I57"/>
    <mergeCell ref="K11:K23"/>
    <mergeCell ref="A1:K7"/>
    <mergeCell ref="B41:I41"/>
    <mergeCell ref="A28:K28"/>
    <mergeCell ref="A29:K29"/>
    <mergeCell ref="A31:K31"/>
    <mergeCell ref="A30:K30"/>
    <mergeCell ref="B33:I33"/>
    <mergeCell ref="B34:I34"/>
    <mergeCell ref="B37:I37"/>
    <mergeCell ref="B35:I35"/>
    <mergeCell ref="B36:I36"/>
    <mergeCell ref="B39:I39"/>
    <mergeCell ref="H12:I12"/>
    <mergeCell ref="B13:E13"/>
    <mergeCell ref="A27:K27"/>
    <mergeCell ref="B91:I91"/>
    <mergeCell ref="B84:I84"/>
    <mergeCell ref="B85:I85"/>
    <mergeCell ref="B87:I87"/>
    <mergeCell ref="B83:I83"/>
    <mergeCell ref="B58:I58"/>
    <mergeCell ref="B72:I72"/>
    <mergeCell ref="B73:I73"/>
    <mergeCell ref="B69:I69"/>
    <mergeCell ref="B63:I63"/>
    <mergeCell ref="B64:I64"/>
    <mergeCell ref="B65:I65"/>
    <mergeCell ref="B66:I66"/>
    <mergeCell ref="B60:I60"/>
    <mergeCell ref="B61:I61"/>
    <mergeCell ref="B68:I68"/>
    <mergeCell ref="B59:I59"/>
    <mergeCell ref="B62:I62"/>
    <mergeCell ref="B71:I71"/>
    <mergeCell ref="B67:I67"/>
    <mergeCell ref="B19:E19"/>
    <mergeCell ref="B48:I48"/>
    <mergeCell ref="B42:I42"/>
    <mergeCell ref="B45:I45"/>
    <mergeCell ref="B46:I46"/>
    <mergeCell ref="B47:I47"/>
    <mergeCell ref="A94:D94"/>
    <mergeCell ref="G94:K94"/>
    <mergeCell ref="G95:K95"/>
    <mergeCell ref="G96:K96"/>
    <mergeCell ref="B8:J8"/>
    <mergeCell ref="B9:J9"/>
    <mergeCell ref="A26:C26"/>
    <mergeCell ref="G11:J11"/>
    <mergeCell ref="B88:I88"/>
    <mergeCell ref="B89:I89"/>
    <mergeCell ref="B90:I90"/>
    <mergeCell ref="B52:I52"/>
    <mergeCell ref="B54:I54"/>
    <mergeCell ref="B55:I55"/>
    <mergeCell ref="B18:E18"/>
    <mergeCell ref="B20:E20"/>
  </mergeCells>
  <phoneticPr fontId="42" type="noConversion"/>
  <pageMargins left="0.7" right="0.7" top="0.75" bottom="0.75" header="0.3" footer="0.3"/>
  <pageSetup paperSize="9" scale="81" fitToHeight="0" orientation="portrait" r:id="rId1"/>
  <rowBreaks count="1" manualBreakCount="1">
    <brk id="52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B494"/>
  <sheetViews>
    <sheetView showGridLines="0" view="pageBreakPreview" topLeftCell="A98" zoomScaleNormal="100" zoomScaleSheetLayoutView="100" workbookViewId="0">
      <selection activeCell="N35" sqref="N35"/>
    </sheetView>
  </sheetViews>
  <sheetFormatPr defaultRowHeight="15" x14ac:dyDescent="0.25"/>
  <cols>
    <col min="5" max="5" width="22.85546875" customWidth="1"/>
    <col min="10" max="10" width="10" customWidth="1"/>
    <col min="11" max="11" width="13.28515625" customWidth="1"/>
  </cols>
  <sheetData>
    <row r="2" spans="2:11" ht="18.75" customHeight="1" x14ac:dyDescent="0.3">
      <c r="B2" s="942" t="s">
        <v>268</v>
      </c>
      <c r="C2" s="942"/>
      <c r="D2" s="942"/>
      <c r="E2" s="942"/>
      <c r="F2" s="942"/>
      <c r="G2" s="942"/>
      <c r="H2" s="942"/>
      <c r="I2" s="942"/>
      <c r="J2" s="942"/>
    </row>
    <row r="3" spans="2:11" ht="15.75" thickBot="1" x14ac:dyDescent="0.3"/>
    <row r="4" spans="2:11" ht="15.75" customHeight="1" thickBot="1" x14ac:dyDescent="0.3">
      <c r="B4" s="663" t="s">
        <v>4</v>
      </c>
      <c r="C4" s="665"/>
      <c r="D4" s="663" t="s">
        <v>123</v>
      </c>
      <c r="E4" s="664"/>
      <c r="F4" s="664"/>
      <c r="G4" s="664"/>
      <c r="H4" s="664"/>
      <c r="I4" s="664"/>
      <c r="J4" s="665"/>
      <c r="K4" s="943"/>
    </row>
    <row r="5" spans="2:11" ht="23.25" thickBot="1" x14ac:dyDescent="0.3">
      <c r="B5" s="936" t="s">
        <v>37</v>
      </c>
      <c r="C5" s="937"/>
      <c r="D5" s="787" t="s">
        <v>38</v>
      </c>
      <c r="E5" s="938"/>
      <c r="F5" s="52" t="s">
        <v>177</v>
      </c>
      <c r="G5" s="52" t="s">
        <v>165</v>
      </c>
      <c r="H5" s="52" t="s">
        <v>183</v>
      </c>
      <c r="I5" s="69" t="s">
        <v>205</v>
      </c>
      <c r="J5" s="53" t="s">
        <v>42</v>
      </c>
      <c r="K5" s="943"/>
    </row>
    <row r="6" spans="2:11" ht="25.5" customHeight="1" x14ac:dyDescent="0.25">
      <c r="B6" s="930" t="s">
        <v>19</v>
      </c>
      <c r="C6" s="931"/>
      <c r="D6" s="939" t="s">
        <v>389</v>
      </c>
      <c r="E6" s="940"/>
      <c r="F6" s="70"/>
      <c r="G6" s="71"/>
      <c r="H6" s="70"/>
      <c r="I6" s="70"/>
      <c r="J6" s="72"/>
      <c r="K6" s="943"/>
    </row>
    <row r="7" spans="2:11" x14ac:dyDescent="0.25">
      <c r="B7" s="822"/>
      <c r="C7" s="854"/>
      <c r="D7" s="758" t="s">
        <v>178</v>
      </c>
      <c r="E7" s="759"/>
      <c r="F7" s="27"/>
      <c r="G7" s="58"/>
      <c r="H7" s="27"/>
      <c r="I7" s="27"/>
      <c r="J7" s="29"/>
      <c r="K7" s="943"/>
    </row>
    <row r="8" spans="2:11" x14ac:dyDescent="0.25">
      <c r="B8" s="60"/>
      <c r="C8" s="61"/>
      <c r="D8" s="941" t="s">
        <v>182</v>
      </c>
      <c r="E8" s="923"/>
      <c r="F8" s="27">
        <v>3</v>
      </c>
      <c r="G8" s="28">
        <f>CENIK_št_1!K34</f>
        <v>29.565151586588335</v>
      </c>
      <c r="H8" s="27"/>
      <c r="I8" s="27"/>
      <c r="J8" s="29">
        <f>F8*G8</f>
        <v>88.695454759764999</v>
      </c>
      <c r="K8" s="943"/>
    </row>
    <row r="9" spans="2:11" ht="15" customHeight="1" x14ac:dyDescent="0.25">
      <c r="B9" s="822"/>
      <c r="C9" s="854"/>
      <c r="D9" s="916" t="s">
        <v>179</v>
      </c>
      <c r="E9" s="917"/>
      <c r="F9" s="27"/>
      <c r="G9" s="28"/>
      <c r="H9" s="27"/>
      <c r="I9" s="27"/>
      <c r="J9" s="29"/>
      <c r="K9" s="943"/>
    </row>
    <row r="10" spans="2:11" ht="15" customHeight="1" x14ac:dyDescent="0.25">
      <c r="B10" s="60"/>
      <c r="C10" s="61"/>
      <c r="D10" s="918" t="s">
        <v>12</v>
      </c>
      <c r="E10" s="918"/>
      <c r="F10" s="27">
        <v>1.5</v>
      </c>
      <c r="G10" s="28">
        <f>CENIK_št_1!K52-17.19</f>
        <v>10.364746642320412</v>
      </c>
      <c r="H10" s="27"/>
      <c r="I10" s="27"/>
      <c r="J10" s="29">
        <f>F10*G10</f>
        <v>15.547119963480618</v>
      </c>
      <c r="K10" s="943"/>
    </row>
    <row r="11" spans="2:11" ht="15" customHeight="1" x14ac:dyDescent="0.25">
      <c r="B11" s="60"/>
      <c r="C11" s="61"/>
      <c r="D11" s="369"/>
      <c r="E11" s="370" t="s">
        <v>385</v>
      </c>
      <c r="F11" s="27">
        <v>1</v>
      </c>
      <c r="G11" s="28"/>
      <c r="H11" s="27"/>
      <c r="I11" s="27"/>
      <c r="J11" s="29">
        <v>8</v>
      </c>
      <c r="K11" s="943"/>
    </row>
    <row r="12" spans="2:11" x14ac:dyDescent="0.25">
      <c r="B12" s="822"/>
      <c r="C12" s="854"/>
      <c r="D12" s="753" t="s">
        <v>180</v>
      </c>
      <c r="E12" s="872"/>
      <c r="F12" s="27"/>
      <c r="G12" s="28"/>
      <c r="H12" s="28"/>
      <c r="I12" s="27"/>
      <c r="J12" s="29"/>
      <c r="K12" s="943"/>
    </row>
    <row r="13" spans="2:11" x14ac:dyDescent="0.25">
      <c r="B13" s="60"/>
      <c r="C13" s="61"/>
      <c r="D13" s="339"/>
      <c r="E13" s="344" t="s">
        <v>211</v>
      </c>
      <c r="F13" s="27"/>
      <c r="G13" s="28"/>
      <c r="H13" s="28">
        <v>3</v>
      </c>
      <c r="I13" s="27">
        <v>1</v>
      </c>
      <c r="J13" s="29">
        <f>H13*I13</f>
        <v>3</v>
      </c>
      <c r="K13" s="943"/>
    </row>
    <row r="14" spans="2:11" x14ac:dyDescent="0.25">
      <c r="B14" s="60"/>
      <c r="C14" s="61"/>
      <c r="D14" s="339"/>
      <c r="E14" s="344" t="s">
        <v>212</v>
      </c>
      <c r="F14" s="27"/>
      <c r="G14" s="28"/>
      <c r="H14" s="28">
        <v>1.5</v>
      </c>
      <c r="I14" s="27">
        <v>4</v>
      </c>
      <c r="J14" s="29">
        <f>H14*I14</f>
        <v>6</v>
      </c>
      <c r="K14" s="943"/>
    </row>
    <row r="15" spans="2:11" ht="15.75" thickBot="1" x14ac:dyDescent="0.3">
      <c r="B15" s="60"/>
      <c r="C15" s="61"/>
      <c r="D15" s="339"/>
      <c r="E15" s="344" t="s">
        <v>213</v>
      </c>
      <c r="F15" s="27"/>
      <c r="G15" s="28"/>
      <c r="H15" s="28"/>
      <c r="I15" s="27"/>
      <c r="J15" s="30">
        <v>2</v>
      </c>
      <c r="K15" s="943"/>
    </row>
    <row r="16" spans="2:11" ht="16.5" hidden="1" customHeight="1" thickTop="1" thickBot="1" x14ac:dyDescent="0.3">
      <c r="B16" s="768"/>
      <c r="C16" s="769"/>
      <c r="D16" s="934" t="s">
        <v>184</v>
      </c>
      <c r="E16" s="935"/>
      <c r="F16" s="32"/>
      <c r="G16" s="58"/>
      <c r="H16" s="32"/>
      <c r="I16" s="32"/>
      <c r="J16" s="33" t="e">
        <f>#REF!*5/100</f>
        <v>#REF!</v>
      </c>
      <c r="K16" s="943"/>
    </row>
    <row r="17" spans="2:11" ht="16.5" thickTop="1" thickBot="1" x14ac:dyDescent="0.3">
      <c r="B17" s="772"/>
      <c r="C17" s="773"/>
      <c r="D17" s="754" t="s">
        <v>206</v>
      </c>
      <c r="E17" s="774"/>
      <c r="F17" s="26"/>
      <c r="G17" s="66"/>
      <c r="H17" s="26"/>
      <c r="I17" s="26">
        <v>1</v>
      </c>
      <c r="J17" s="56">
        <f>J8+J10+J13+J14+J15+J11</f>
        <v>123.24257472324561</v>
      </c>
      <c r="K17" s="943"/>
    </row>
    <row r="18" spans="2:11" ht="15.75" thickBot="1" x14ac:dyDescent="0.3">
      <c r="J18" s="59"/>
      <c r="K18" s="943"/>
    </row>
    <row r="19" spans="2:11" ht="15.75" customHeight="1" thickBot="1" x14ac:dyDescent="0.3">
      <c r="B19" s="663" t="s">
        <v>4</v>
      </c>
      <c r="C19" s="665"/>
      <c r="D19" s="663" t="s">
        <v>123</v>
      </c>
      <c r="E19" s="664"/>
      <c r="F19" s="664"/>
      <c r="G19" s="664"/>
      <c r="H19" s="664"/>
      <c r="I19" s="664"/>
      <c r="J19" s="665"/>
      <c r="K19" s="943"/>
    </row>
    <row r="20" spans="2:11" ht="23.25" thickBot="1" x14ac:dyDescent="0.3">
      <c r="B20" s="936" t="s">
        <v>37</v>
      </c>
      <c r="C20" s="937"/>
      <c r="D20" s="787" t="s">
        <v>38</v>
      </c>
      <c r="E20" s="938"/>
      <c r="F20" s="52" t="s">
        <v>177</v>
      </c>
      <c r="G20" s="52" t="s">
        <v>165</v>
      </c>
      <c r="H20" s="52" t="s">
        <v>183</v>
      </c>
      <c r="I20" s="69" t="s">
        <v>205</v>
      </c>
      <c r="J20" s="53" t="s">
        <v>42</v>
      </c>
      <c r="K20" s="943"/>
    </row>
    <row r="21" spans="2:11" ht="39" customHeight="1" x14ac:dyDescent="0.25">
      <c r="B21" s="930" t="s">
        <v>20</v>
      </c>
      <c r="C21" s="931"/>
      <c r="D21" s="939" t="s">
        <v>388</v>
      </c>
      <c r="E21" s="940"/>
      <c r="F21" s="70"/>
      <c r="G21" s="71"/>
      <c r="H21" s="70"/>
      <c r="I21" s="70"/>
      <c r="J21" s="72"/>
      <c r="K21" s="943"/>
    </row>
    <row r="22" spans="2:11" x14ac:dyDescent="0.25">
      <c r="B22" s="822"/>
      <c r="C22" s="854"/>
      <c r="D22" s="758" t="s">
        <v>178</v>
      </c>
      <c r="E22" s="759"/>
      <c r="F22" s="27"/>
      <c r="G22" s="58"/>
      <c r="H22" s="27"/>
      <c r="I22" s="27"/>
      <c r="J22" s="29"/>
      <c r="K22" s="943"/>
    </row>
    <row r="23" spans="2:11" x14ac:dyDescent="0.25">
      <c r="B23" s="60"/>
      <c r="C23" s="61"/>
      <c r="D23" s="941" t="s">
        <v>182</v>
      </c>
      <c r="E23" s="923"/>
      <c r="F23" s="27">
        <v>2</v>
      </c>
      <c r="G23" s="28">
        <f>CENIK_št_1!K34</f>
        <v>29.565151586588335</v>
      </c>
      <c r="H23" s="27"/>
      <c r="I23" s="27"/>
      <c r="J23" s="29">
        <f>F23*G23</f>
        <v>59.130303173176671</v>
      </c>
      <c r="K23" s="943"/>
    </row>
    <row r="24" spans="2:11" ht="30" customHeight="1" x14ac:dyDescent="0.25">
      <c r="B24" s="60"/>
      <c r="C24" s="61"/>
      <c r="D24" s="910" t="str">
        <f>CENIK_št_1!B33</f>
        <v>Delovodja, Skupinovodja, Preglednik, Dispečer, Voznik, Strojnik</v>
      </c>
      <c r="E24" s="885"/>
      <c r="F24" s="27">
        <v>4</v>
      </c>
      <c r="G24" s="28">
        <f>CENIK_št_1!K33</f>
        <v>21.016080827612811</v>
      </c>
      <c r="H24" s="27"/>
      <c r="I24" s="27"/>
      <c r="J24" s="29">
        <f>F24*G24</f>
        <v>84.064323310451243</v>
      </c>
      <c r="K24" s="943"/>
    </row>
    <row r="25" spans="2:11" x14ac:dyDescent="0.25">
      <c r="B25" s="60"/>
      <c r="C25" s="61"/>
      <c r="D25" s="910" t="str">
        <f>CENIK_št_1!B32</f>
        <v xml:space="preserve">Komunalni delavec </v>
      </c>
      <c r="E25" s="885"/>
      <c r="F25" s="27">
        <v>16</v>
      </c>
      <c r="G25" s="28">
        <f>CENIK_št_1!K32</f>
        <v>20.747507542833958</v>
      </c>
      <c r="H25" s="27"/>
      <c r="I25" s="27"/>
      <c r="J25" s="29">
        <f>F25*G25</f>
        <v>331.96012068534333</v>
      </c>
      <c r="K25" s="943"/>
    </row>
    <row r="26" spans="2:11" ht="15" customHeight="1" x14ac:dyDescent="0.25">
      <c r="B26" s="822"/>
      <c r="C26" s="854"/>
      <c r="D26" s="916" t="s">
        <v>179</v>
      </c>
      <c r="E26" s="917"/>
      <c r="F26" s="27"/>
      <c r="G26" s="28"/>
      <c r="H26" s="27"/>
      <c r="I26" s="27"/>
      <c r="J26" s="29"/>
      <c r="K26" s="943"/>
    </row>
    <row r="27" spans="2:11" ht="15" customHeight="1" x14ac:dyDescent="0.25">
      <c r="B27" s="60"/>
      <c r="C27" s="61"/>
      <c r="D27" s="918" t="str">
        <f>CENIK_št_1!B55</f>
        <v>Tovorno vozilo do 15 t sdm</v>
      </c>
      <c r="E27" s="918"/>
      <c r="F27" s="27">
        <v>4</v>
      </c>
      <c r="G27" s="28">
        <f>CENIK_št_1!K55</f>
        <v>46.527721642320408</v>
      </c>
      <c r="H27" s="27"/>
      <c r="I27" s="27"/>
      <c r="J27" s="29">
        <f>F27*G27</f>
        <v>186.11088656928163</v>
      </c>
      <c r="K27" s="943"/>
    </row>
    <row r="28" spans="2:11" x14ac:dyDescent="0.25">
      <c r="B28" s="822"/>
      <c r="C28" s="854"/>
      <c r="D28" s="753" t="s">
        <v>180</v>
      </c>
      <c r="E28" s="872"/>
      <c r="F28" s="27"/>
      <c r="G28" s="28"/>
      <c r="H28" s="28"/>
      <c r="I28" s="27"/>
      <c r="J28" s="29"/>
      <c r="K28" s="943"/>
    </row>
    <row r="29" spans="2:11" ht="15.75" thickBot="1" x14ac:dyDescent="0.3">
      <c r="B29" s="60"/>
      <c r="C29" s="61"/>
      <c r="D29" s="339"/>
      <c r="E29" s="344" t="s">
        <v>386</v>
      </c>
      <c r="F29" s="27"/>
      <c r="G29" s="28"/>
      <c r="H29" s="28">
        <v>1.5</v>
      </c>
      <c r="I29" s="27">
        <v>75</v>
      </c>
      <c r="J29" s="29">
        <f>H29*I29</f>
        <v>112.5</v>
      </c>
      <c r="K29" s="943"/>
    </row>
    <row r="30" spans="2:11" ht="16.5" hidden="1" customHeight="1" thickTop="1" thickBot="1" x14ac:dyDescent="0.3">
      <c r="B30" s="768"/>
      <c r="C30" s="769"/>
      <c r="D30" s="934" t="s">
        <v>184</v>
      </c>
      <c r="E30" s="935"/>
      <c r="F30" s="32"/>
      <c r="G30" s="58"/>
      <c r="H30" s="32"/>
      <c r="I30" s="32"/>
      <c r="J30" s="33" t="e">
        <f>#REF!*5/100</f>
        <v>#REF!</v>
      </c>
      <c r="K30" s="943"/>
    </row>
    <row r="31" spans="2:11" ht="15.75" thickBot="1" x14ac:dyDescent="0.3">
      <c r="B31" s="772"/>
      <c r="C31" s="773"/>
      <c r="D31" s="754" t="s">
        <v>390</v>
      </c>
      <c r="E31" s="774"/>
      <c r="F31" s="26">
        <v>300</v>
      </c>
      <c r="G31" s="66"/>
      <c r="H31" s="26"/>
      <c r="I31" s="26"/>
      <c r="J31" s="56">
        <f>(J23+J24+J25+J27+J29)/F31</f>
        <v>2.5792187791275096</v>
      </c>
      <c r="K31" s="943"/>
    </row>
    <row r="32" spans="2:11" ht="15.75" thickBot="1" x14ac:dyDescent="0.3">
      <c r="B32" s="199"/>
      <c r="C32" s="199"/>
      <c r="D32" s="200"/>
      <c r="E32" s="200"/>
      <c r="F32" s="201"/>
      <c r="G32" s="202"/>
      <c r="H32" s="201"/>
      <c r="I32" s="201"/>
      <c r="J32" s="203"/>
      <c r="K32" s="943"/>
    </row>
    <row r="33" spans="2:11" ht="15.75" customHeight="1" thickBot="1" x14ac:dyDescent="0.3">
      <c r="B33" s="663" t="s">
        <v>4</v>
      </c>
      <c r="C33" s="665"/>
      <c r="D33" s="663" t="s">
        <v>123</v>
      </c>
      <c r="E33" s="664"/>
      <c r="F33" s="664"/>
      <c r="G33" s="664"/>
      <c r="H33" s="664"/>
      <c r="I33" s="664"/>
      <c r="J33" s="665"/>
      <c r="K33" s="943"/>
    </row>
    <row r="34" spans="2:11" ht="23.25" thickBot="1" x14ac:dyDescent="0.3">
      <c r="B34" s="936" t="s">
        <v>37</v>
      </c>
      <c r="C34" s="937"/>
      <c r="D34" s="787" t="s">
        <v>38</v>
      </c>
      <c r="E34" s="938"/>
      <c r="F34" s="52" t="s">
        <v>177</v>
      </c>
      <c r="G34" s="52" t="s">
        <v>165</v>
      </c>
      <c r="H34" s="52" t="s">
        <v>183</v>
      </c>
      <c r="I34" s="69" t="s">
        <v>205</v>
      </c>
      <c r="J34" s="53" t="s">
        <v>42</v>
      </c>
      <c r="K34" s="943"/>
    </row>
    <row r="35" spans="2:11" ht="39" customHeight="1" x14ac:dyDescent="0.25">
      <c r="B35" s="930" t="s">
        <v>21</v>
      </c>
      <c r="C35" s="931"/>
      <c r="D35" s="939" t="s">
        <v>394</v>
      </c>
      <c r="E35" s="940"/>
      <c r="F35" s="70"/>
      <c r="G35" s="71"/>
      <c r="H35" s="70"/>
      <c r="I35" s="70"/>
      <c r="J35" s="72"/>
      <c r="K35" s="943"/>
    </row>
    <row r="36" spans="2:11" x14ac:dyDescent="0.25">
      <c r="B36" s="822"/>
      <c r="C36" s="854"/>
      <c r="D36" s="758" t="s">
        <v>178</v>
      </c>
      <c r="E36" s="759"/>
      <c r="F36" s="27"/>
      <c r="G36" s="58"/>
      <c r="H36" s="27"/>
      <c r="I36" s="27"/>
      <c r="J36" s="29"/>
      <c r="K36" s="943"/>
    </row>
    <row r="37" spans="2:11" x14ac:dyDescent="0.25">
      <c r="B37" s="60"/>
      <c r="C37" s="61"/>
      <c r="D37" s="941" t="s">
        <v>182</v>
      </c>
      <c r="E37" s="923"/>
      <c r="F37" s="27">
        <v>4</v>
      </c>
      <c r="G37" s="28">
        <f>CENIK_št_1!K34</f>
        <v>29.565151586588335</v>
      </c>
      <c r="H37" s="27"/>
      <c r="I37" s="27"/>
      <c r="J37" s="29">
        <f>F37*G37</f>
        <v>118.26060634635334</v>
      </c>
      <c r="K37" s="943"/>
    </row>
    <row r="38" spans="2:11" ht="30" customHeight="1" x14ac:dyDescent="0.25">
      <c r="B38" s="60"/>
      <c r="C38" s="61"/>
      <c r="D38" s="910" t="s">
        <v>357</v>
      </c>
      <c r="E38" s="885"/>
      <c r="F38" s="27">
        <v>8</v>
      </c>
      <c r="G38" s="28">
        <f>CENIK_št_1!K33</f>
        <v>21.016080827612811</v>
      </c>
      <c r="H38" s="27"/>
      <c r="I38" s="27"/>
      <c r="J38" s="29">
        <f>F38*G38</f>
        <v>168.12864662090249</v>
      </c>
      <c r="K38" s="943"/>
    </row>
    <row r="39" spans="2:11" x14ac:dyDescent="0.25">
      <c r="B39" s="60"/>
      <c r="C39" s="61"/>
      <c r="D39" s="910" t="s">
        <v>340</v>
      </c>
      <c r="E39" s="885"/>
      <c r="F39" s="27">
        <v>12</v>
      </c>
      <c r="G39" s="28">
        <f>CENIK_št_1!K32</f>
        <v>20.747507542833958</v>
      </c>
      <c r="H39" s="27"/>
      <c r="I39" s="27"/>
      <c r="J39" s="29">
        <f>F39*G39</f>
        <v>248.9700905140075</v>
      </c>
      <c r="K39" s="943"/>
    </row>
    <row r="40" spans="2:11" ht="15" customHeight="1" x14ac:dyDescent="0.25">
      <c r="B40" s="822"/>
      <c r="C40" s="854"/>
      <c r="D40" s="916" t="s">
        <v>179</v>
      </c>
      <c r="E40" s="917"/>
      <c r="F40" s="27"/>
      <c r="G40" s="28"/>
      <c r="H40" s="27"/>
      <c r="I40" s="27"/>
      <c r="J40" s="29"/>
      <c r="K40" s="943"/>
    </row>
    <row r="41" spans="2:11" ht="15" customHeight="1" x14ac:dyDescent="0.25">
      <c r="B41" s="60"/>
      <c r="C41" s="61"/>
      <c r="D41" s="918" t="str">
        <f>CENIK_št_1!B54</f>
        <v>Tovorno vozilo do 3,5 t sdm</v>
      </c>
      <c r="E41" s="918"/>
      <c r="F41" s="27">
        <v>4</v>
      </c>
      <c r="G41" s="28">
        <f>CENIK_št_1!K54</f>
        <v>33.810121642320418</v>
      </c>
      <c r="H41" s="27"/>
      <c r="I41" s="27"/>
      <c r="J41" s="29">
        <f>F41*G41</f>
        <v>135.24048656928167</v>
      </c>
      <c r="K41" s="943"/>
    </row>
    <row r="42" spans="2:11" x14ac:dyDescent="0.25">
      <c r="B42" s="822"/>
      <c r="C42" s="854"/>
      <c r="D42" s="753" t="s">
        <v>180</v>
      </c>
      <c r="E42" s="872"/>
      <c r="F42" s="27"/>
      <c r="G42" s="28"/>
      <c r="H42" s="28"/>
      <c r="I42" s="27"/>
      <c r="J42" s="29"/>
      <c r="K42" s="943"/>
    </row>
    <row r="43" spans="2:11" ht="15.75" thickBot="1" x14ac:dyDescent="0.3">
      <c r="B43" s="60"/>
      <c r="C43" s="61"/>
      <c r="D43" s="339"/>
      <c r="E43" s="344" t="s">
        <v>387</v>
      </c>
      <c r="F43" s="27"/>
      <c r="G43" s="28"/>
      <c r="H43" s="28">
        <v>1.5</v>
      </c>
      <c r="I43" s="27">
        <v>50</v>
      </c>
      <c r="J43" s="29">
        <f>H43*I43</f>
        <v>75</v>
      </c>
      <c r="K43" s="943"/>
    </row>
    <row r="44" spans="2:11" ht="15.75" hidden="1" customHeight="1" thickBot="1" x14ac:dyDescent="0.3">
      <c r="B44" s="768"/>
      <c r="C44" s="769"/>
      <c r="D44" s="934" t="s">
        <v>184</v>
      </c>
      <c r="E44" s="935"/>
      <c r="F44" s="32"/>
      <c r="G44" s="58"/>
      <c r="H44" s="32"/>
      <c r="I44" s="32"/>
      <c r="J44" s="33" t="e">
        <f>#REF!*5/100</f>
        <v>#REF!</v>
      </c>
      <c r="K44" s="943"/>
    </row>
    <row r="45" spans="2:11" ht="15.75" thickBot="1" x14ac:dyDescent="0.3">
      <c r="B45" s="772"/>
      <c r="C45" s="773"/>
      <c r="D45" s="754" t="s">
        <v>384</v>
      </c>
      <c r="E45" s="774"/>
      <c r="F45" s="26">
        <v>300</v>
      </c>
      <c r="G45" s="66"/>
      <c r="H45" s="26"/>
      <c r="I45" s="26">
        <v>1</v>
      </c>
      <c r="J45" s="56">
        <f>(J37+J38+J39+J41+J43)/F45</f>
        <v>2.4853327668351497</v>
      </c>
      <c r="K45" s="943"/>
    </row>
    <row r="46" spans="2:11" x14ac:dyDescent="0.25">
      <c r="J46" s="59"/>
      <c r="K46" s="943"/>
    </row>
    <row r="47" spans="2:11" ht="15.75" thickBot="1" x14ac:dyDescent="0.3">
      <c r="B47" s="63"/>
      <c r="C47" s="63"/>
      <c r="D47" s="63"/>
      <c r="E47" s="63"/>
      <c r="F47" s="63"/>
      <c r="G47" s="63"/>
      <c r="H47" s="63"/>
      <c r="I47" s="63"/>
      <c r="J47" s="63"/>
      <c r="K47" s="943"/>
    </row>
    <row r="48" spans="2:11" ht="15" customHeight="1" thickTop="1" x14ac:dyDescent="0.25">
      <c r="K48" s="943"/>
    </row>
    <row r="49" spans="2:11" ht="15.75" thickBot="1" x14ac:dyDescent="0.3"/>
    <row r="50" spans="2:11" ht="15.75" customHeight="1" thickBot="1" x14ac:dyDescent="0.3">
      <c r="B50" s="663" t="s">
        <v>5</v>
      </c>
      <c r="C50" s="665"/>
      <c r="D50" s="663" t="s">
        <v>128</v>
      </c>
      <c r="E50" s="664"/>
      <c r="F50" s="664"/>
      <c r="G50" s="664"/>
      <c r="H50" s="664"/>
      <c r="I50" s="664"/>
      <c r="J50" s="665"/>
    </row>
    <row r="51" spans="2:11" ht="23.25" thickBot="1" x14ac:dyDescent="0.3">
      <c r="B51" s="755" t="s">
        <v>37</v>
      </c>
      <c r="C51" s="786"/>
      <c r="D51" s="800" t="s">
        <v>38</v>
      </c>
      <c r="E51" s="921"/>
      <c r="F51" s="54" t="s">
        <v>177</v>
      </c>
      <c r="G51" s="54" t="s">
        <v>165</v>
      </c>
      <c r="H51" s="54" t="s">
        <v>183</v>
      </c>
      <c r="I51" s="67" t="s">
        <v>197</v>
      </c>
      <c r="J51" s="55" t="s">
        <v>42</v>
      </c>
    </row>
    <row r="52" spans="2:11" ht="48" customHeight="1" x14ac:dyDescent="0.25">
      <c r="B52" s="930" t="s">
        <v>116</v>
      </c>
      <c r="C52" s="931"/>
      <c r="D52" s="904" t="s">
        <v>398</v>
      </c>
      <c r="E52" s="905"/>
      <c r="F52" s="73"/>
      <c r="G52" s="73"/>
      <c r="H52" s="73"/>
      <c r="I52" s="73"/>
      <c r="J52" s="74"/>
      <c r="K52" s="68"/>
    </row>
    <row r="53" spans="2:11" ht="15" customHeight="1" x14ac:dyDescent="0.25">
      <c r="B53" s="822"/>
      <c r="C53" s="854"/>
      <c r="D53" s="758" t="s">
        <v>178</v>
      </c>
      <c r="E53" s="759"/>
      <c r="F53" s="27"/>
      <c r="G53" s="58"/>
      <c r="H53" s="27"/>
      <c r="I53" s="27"/>
      <c r="J53" s="29"/>
    </row>
    <row r="54" spans="2:11" ht="33.75" customHeight="1" x14ac:dyDescent="0.25">
      <c r="B54" s="60"/>
      <c r="C54" s="61"/>
      <c r="D54" s="932" t="str">
        <f>CENIK_št_1!B34</f>
        <v>Strokovna dela (nadzor, vodenje, pregledi objektov, izdelava poročil, izvedbeni načrti)</v>
      </c>
      <c r="E54" s="933"/>
      <c r="F54" s="345" t="s">
        <v>278</v>
      </c>
      <c r="G54" s="28">
        <f>CENIK_št_1!K34</f>
        <v>29.565151586588335</v>
      </c>
      <c r="H54" s="27"/>
      <c r="I54" s="27"/>
      <c r="J54" s="29">
        <f>F54*G54</f>
        <v>59.130303173176671</v>
      </c>
    </row>
    <row r="55" spans="2:11" ht="34.5" customHeight="1" x14ac:dyDescent="0.25">
      <c r="B55" s="60"/>
      <c r="C55" s="61"/>
      <c r="D55" s="908" t="str">
        <f>CENIK_št_1!B33</f>
        <v>Delovodja, Skupinovodja, Preglednik, Dispečer, Voznik, Strojnik</v>
      </c>
      <c r="E55" s="909"/>
      <c r="F55" s="27">
        <v>3</v>
      </c>
      <c r="G55" s="28">
        <f>CENIK_št_1!K33</f>
        <v>21.016080827612811</v>
      </c>
      <c r="H55" s="27"/>
      <c r="I55" s="27"/>
      <c r="J55" s="29">
        <f>F55*G55</f>
        <v>63.048242482838432</v>
      </c>
    </row>
    <row r="56" spans="2:11" x14ac:dyDescent="0.25">
      <c r="B56" s="60"/>
      <c r="C56" s="61"/>
      <c r="D56" s="379"/>
      <c r="E56" s="380" t="str">
        <f>CENIK_št_1!B32</f>
        <v xml:space="preserve">Komunalni delavec </v>
      </c>
      <c r="F56" s="27">
        <v>8</v>
      </c>
      <c r="G56" s="28">
        <f>CENIK_št_1!K32</f>
        <v>20.747507542833958</v>
      </c>
      <c r="H56" s="27"/>
      <c r="I56" s="27"/>
      <c r="J56" s="29">
        <f>F56*G56</f>
        <v>165.98006034267166</v>
      </c>
    </row>
    <row r="57" spans="2:11" x14ac:dyDescent="0.25">
      <c r="B57" s="822"/>
      <c r="C57" s="854"/>
      <c r="D57" s="916" t="s">
        <v>192</v>
      </c>
      <c r="E57" s="917"/>
      <c r="F57" s="27"/>
      <c r="G57" s="28"/>
      <c r="H57" s="27"/>
      <c r="I57" s="27"/>
      <c r="J57" s="33"/>
    </row>
    <row r="58" spans="2:11" x14ac:dyDescent="0.25">
      <c r="B58" s="60"/>
      <c r="C58" s="61"/>
      <c r="D58" s="918" t="s">
        <v>397</v>
      </c>
      <c r="E58" s="918"/>
      <c r="F58" s="27">
        <v>8</v>
      </c>
      <c r="G58" s="28">
        <v>39.9</v>
      </c>
      <c r="H58" s="27"/>
      <c r="I58" s="378"/>
      <c r="J58" s="29">
        <f>F58*G58</f>
        <v>319.2</v>
      </c>
    </row>
    <row r="59" spans="2:11" ht="15.75" thickBot="1" x14ac:dyDescent="0.3">
      <c r="B59" s="372"/>
      <c r="C59" s="373"/>
      <c r="D59" s="374"/>
      <c r="E59" s="375" t="str">
        <f>CENIK_št_1!B118</f>
        <v>Vibracisjki nabijalec</v>
      </c>
      <c r="F59" s="32">
        <v>4</v>
      </c>
      <c r="G59" s="376">
        <f>CENIK_št_1!K118</f>
        <v>15.659174999999999</v>
      </c>
      <c r="H59" s="32"/>
      <c r="I59" s="32"/>
      <c r="J59" s="29">
        <f>F59*G59</f>
        <v>62.636699999999998</v>
      </c>
    </row>
    <row r="60" spans="2:11" ht="15.75" thickBot="1" x14ac:dyDescent="0.3">
      <c r="B60" s="772"/>
      <c r="C60" s="773"/>
      <c r="D60" s="754" t="s">
        <v>200</v>
      </c>
      <c r="E60" s="774"/>
      <c r="F60" s="26">
        <v>4</v>
      </c>
      <c r="G60" s="66"/>
      <c r="H60" s="26"/>
      <c r="I60" s="26">
        <v>1</v>
      </c>
      <c r="J60" s="56">
        <f>SUM(J54:J59)/F60</f>
        <v>167.49882649967168</v>
      </c>
    </row>
    <row r="61" spans="2:11" ht="15.75" thickBot="1" x14ac:dyDescent="0.3">
      <c r="B61" s="75"/>
      <c r="C61" s="75"/>
      <c r="D61" s="75"/>
      <c r="E61" s="75"/>
      <c r="F61" s="75"/>
      <c r="G61" s="75"/>
      <c r="H61" s="75"/>
      <c r="I61" s="75"/>
      <c r="J61" s="75"/>
    </row>
    <row r="62" spans="2:11" ht="15.75" customHeight="1" thickBot="1" x14ac:dyDescent="0.3">
      <c r="B62" s="663" t="s">
        <v>5</v>
      </c>
      <c r="C62" s="665"/>
      <c r="D62" s="663" t="s">
        <v>128</v>
      </c>
      <c r="E62" s="664"/>
      <c r="F62" s="664"/>
      <c r="G62" s="664"/>
      <c r="H62" s="664"/>
      <c r="I62" s="664"/>
      <c r="J62" s="665"/>
    </row>
    <row r="63" spans="2:11" ht="23.25" thickBot="1" x14ac:dyDescent="0.3">
      <c r="B63" s="755" t="s">
        <v>37</v>
      </c>
      <c r="C63" s="786"/>
      <c r="D63" s="800" t="s">
        <v>38</v>
      </c>
      <c r="E63" s="921"/>
      <c r="F63" s="54" t="s">
        <v>177</v>
      </c>
      <c r="G63" s="54" t="s">
        <v>165</v>
      </c>
      <c r="H63" s="54" t="s">
        <v>183</v>
      </c>
      <c r="I63" s="67" t="s">
        <v>197</v>
      </c>
      <c r="J63" s="55" t="s">
        <v>42</v>
      </c>
    </row>
    <row r="64" spans="2:11" ht="65.25" customHeight="1" x14ac:dyDescent="0.25">
      <c r="B64" s="930" t="s">
        <v>117</v>
      </c>
      <c r="C64" s="931"/>
      <c r="D64" s="904" t="s">
        <v>400</v>
      </c>
      <c r="E64" s="905"/>
      <c r="F64" s="73"/>
      <c r="G64" s="73"/>
      <c r="H64" s="73"/>
      <c r="I64" s="73"/>
      <c r="J64" s="74"/>
      <c r="K64" s="68"/>
    </row>
    <row r="65" spans="2:10" ht="15" customHeight="1" x14ac:dyDescent="0.25">
      <c r="B65" s="822"/>
      <c r="C65" s="854"/>
      <c r="D65" s="758" t="s">
        <v>178</v>
      </c>
      <c r="E65" s="759"/>
      <c r="F65" s="27"/>
      <c r="G65" s="58"/>
      <c r="H65" s="27"/>
      <c r="I65" s="27"/>
      <c r="J65" s="29"/>
    </row>
    <row r="66" spans="2:10" ht="33.75" customHeight="1" x14ac:dyDescent="0.25">
      <c r="B66" s="60"/>
      <c r="C66" s="61"/>
      <c r="D66" s="932" t="s">
        <v>353</v>
      </c>
      <c r="E66" s="933"/>
      <c r="F66" s="345" t="s">
        <v>278</v>
      </c>
      <c r="G66" s="28">
        <f>CENIK_št_1!K34</f>
        <v>29.565151586588335</v>
      </c>
      <c r="H66" s="27"/>
      <c r="I66" s="27"/>
      <c r="J66" s="29">
        <f>F66*G66</f>
        <v>59.130303173176671</v>
      </c>
    </row>
    <row r="67" spans="2:10" ht="34.5" customHeight="1" x14ac:dyDescent="0.25">
      <c r="B67" s="60"/>
      <c r="C67" s="61"/>
      <c r="D67" s="908" t="s">
        <v>357</v>
      </c>
      <c r="E67" s="909"/>
      <c r="F67" s="27">
        <v>3</v>
      </c>
      <c r="G67" s="28">
        <f>CENIK_št_1!K33</f>
        <v>21.016080827612811</v>
      </c>
      <c r="H67" s="27"/>
      <c r="I67" s="27"/>
      <c r="J67" s="29">
        <f>F67*G67</f>
        <v>63.048242482838432</v>
      </c>
    </row>
    <row r="68" spans="2:10" x14ac:dyDescent="0.25">
      <c r="B68" s="60"/>
      <c r="C68" s="61"/>
      <c r="D68" s="884" t="s">
        <v>340</v>
      </c>
      <c r="E68" s="885"/>
      <c r="F68" s="27">
        <v>8</v>
      </c>
      <c r="G68" s="28">
        <f>CENIK_št_1!K32</f>
        <v>20.747507542833958</v>
      </c>
      <c r="H68" s="27"/>
      <c r="I68" s="27"/>
      <c r="J68" s="29">
        <f>F68*G68</f>
        <v>165.98006034267166</v>
      </c>
    </row>
    <row r="69" spans="2:10" ht="15" customHeight="1" x14ac:dyDescent="0.25">
      <c r="B69" s="822"/>
      <c r="C69" s="854"/>
      <c r="D69" s="916" t="s">
        <v>192</v>
      </c>
      <c r="E69" s="917"/>
      <c r="F69" s="27"/>
      <c r="G69" s="28"/>
      <c r="H69" s="27"/>
      <c r="I69" s="27"/>
      <c r="J69" s="33"/>
    </row>
    <row r="70" spans="2:10" x14ac:dyDescent="0.25">
      <c r="B70" s="60"/>
      <c r="C70" s="61"/>
      <c r="D70" s="918" t="s">
        <v>397</v>
      </c>
      <c r="E70" s="918"/>
      <c r="F70" s="27">
        <v>8</v>
      </c>
      <c r="G70" s="28">
        <v>39.9</v>
      </c>
      <c r="H70" s="27"/>
      <c r="I70" s="378"/>
      <c r="J70" s="29">
        <f>F70*G70</f>
        <v>319.2</v>
      </c>
    </row>
    <row r="71" spans="2:10" ht="18" customHeight="1" x14ac:dyDescent="0.25">
      <c r="B71" s="64"/>
      <c r="C71" s="65"/>
      <c r="D71" s="929" t="str">
        <f>CENIK_št_1!B55</f>
        <v>Tovorno vozilo do 15 t sdm</v>
      </c>
      <c r="E71" s="913"/>
      <c r="F71" s="31">
        <v>8</v>
      </c>
      <c r="G71" s="382">
        <f>CENIK_št_1!K55</f>
        <v>46.527721642320408</v>
      </c>
      <c r="H71" s="31"/>
      <c r="I71" s="31"/>
      <c r="J71" s="29">
        <f>F71*G71</f>
        <v>372.22177313856326</v>
      </c>
    </row>
    <row r="72" spans="2:10" ht="15.75" customHeight="1" thickBot="1" x14ac:dyDescent="0.3">
      <c r="B72" s="372"/>
      <c r="C72" s="373"/>
      <c r="D72" s="914" t="str">
        <f>CENIK_št_1!B118</f>
        <v>Vibracisjki nabijalec</v>
      </c>
      <c r="E72" s="915"/>
      <c r="F72" s="32">
        <v>4</v>
      </c>
      <c r="G72" s="376">
        <f>CENIK_št_1!K118</f>
        <v>15.659174999999999</v>
      </c>
      <c r="H72" s="32"/>
      <c r="I72" s="32"/>
      <c r="J72" s="29">
        <f>F72*G72</f>
        <v>62.636699999999998</v>
      </c>
    </row>
    <row r="73" spans="2:10" ht="15.75" thickBot="1" x14ac:dyDescent="0.3">
      <c r="B73" s="772"/>
      <c r="C73" s="773"/>
      <c r="D73" s="754" t="s">
        <v>200</v>
      </c>
      <c r="E73" s="774"/>
      <c r="F73" s="26">
        <v>4</v>
      </c>
      <c r="G73" s="66" t="s">
        <v>227</v>
      </c>
      <c r="H73" s="26"/>
      <c r="I73" s="26">
        <v>1</v>
      </c>
      <c r="J73" s="56">
        <f>SUM(J66:J72)/F73</f>
        <v>260.55426978431251</v>
      </c>
    </row>
    <row r="74" spans="2:10" ht="15.75" thickBot="1" x14ac:dyDescent="0.3"/>
    <row r="75" spans="2:10" ht="15.75" thickBot="1" x14ac:dyDescent="0.3">
      <c r="B75" s="663" t="s">
        <v>5</v>
      </c>
      <c r="C75" s="665"/>
      <c r="D75" s="663" t="s">
        <v>128</v>
      </c>
      <c r="E75" s="664"/>
      <c r="F75" s="664"/>
      <c r="G75" s="664"/>
      <c r="H75" s="664"/>
      <c r="I75" s="664"/>
      <c r="J75" s="665"/>
    </row>
    <row r="76" spans="2:10" ht="23.25" thickBot="1" x14ac:dyDescent="0.3">
      <c r="B76" s="755" t="s">
        <v>37</v>
      </c>
      <c r="C76" s="786"/>
      <c r="D76" s="800" t="s">
        <v>38</v>
      </c>
      <c r="E76" s="921"/>
      <c r="F76" s="54" t="s">
        <v>177</v>
      </c>
      <c r="G76" s="54" t="s">
        <v>165</v>
      </c>
      <c r="H76" s="54" t="s">
        <v>183</v>
      </c>
      <c r="I76" s="67" t="s">
        <v>197</v>
      </c>
      <c r="J76" s="55" t="s">
        <v>42</v>
      </c>
    </row>
    <row r="77" spans="2:10" ht="48.75" customHeight="1" x14ac:dyDescent="0.25">
      <c r="B77" s="930" t="s">
        <v>118</v>
      </c>
      <c r="C77" s="931"/>
      <c r="D77" s="904" t="s">
        <v>405</v>
      </c>
      <c r="E77" s="905"/>
      <c r="F77" s="73"/>
      <c r="G77" s="73"/>
      <c r="H77" s="73"/>
      <c r="I77" s="73"/>
      <c r="J77" s="74"/>
    </row>
    <row r="78" spans="2:10" x14ac:dyDescent="0.25">
      <c r="B78" s="822"/>
      <c r="C78" s="854"/>
      <c r="D78" s="758" t="s">
        <v>178</v>
      </c>
      <c r="E78" s="759"/>
      <c r="F78" s="27"/>
      <c r="G78" s="58"/>
      <c r="H78" s="27"/>
      <c r="I78" s="27"/>
      <c r="J78" s="29"/>
    </row>
    <row r="79" spans="2:10" ht="24" customHeight="1" x14ac:dyDescent="0.25">
      <c r="B79" s="60"/>
      <c r="C79" s="61"/>
      <c r="D79" s="932" t="s">
        <v>353</v>
      </c>
      <c r="E79" s="933"/>
      <c r="F79" s="345" t="s">
        <v>401</v>
      </c>
      <c r="G79" s="28">
        <f>CENIK_št_1!K54</f>
        <v>33.810121642320418</v>
      </c>
      <c r="H79" s="27"/>
      <c r="I79" s="27"/>
      <c r="J79" s="29">
        <f>F79*G79</f>
        <v>16.905060821160209</v>
      </c>
    </row>
    <row r="80" spans="2:10" ht="27" customHeight="1" x14ac:dyDescent="0.25">
      <c r="B80" s="60"/>
      <c r="C80" s="61"/>
      <c r="D80" s="908" t="s">
        <v>357</v>
      </c>
      <c r="E80" s="909"/>
      <c r="F80" s="27">
        <v>1</v>
      </c>
      <c r="G80" s="28">
        <f>CENIK_št_1!K53</f>
        <v>35.022206719540229</v>
      </c>
      <c r="H80" s="27"/>
      <c r="I80" s="27"/>
      <c r="J80" s="29">
        <f>F80*G80</f>
        <v>35.022206719540229</v>
      </c>
    </row>
    <row r="81" spans="1:11" x14ac:dyDescent="0.25">
      <c r="B81" s="60"/>
      <c r="C81" s="61"/>
      <c r="D81" s="884" t="s">
        <v>340</v>
      </c>
      <c r="E81" s="885"/>
      <c r="F81" s="27">
        <v>8</v>
      </c>
      <c r="G81" s="28">
        <f>CENIK_št_1!K52</f>
        <v>27.554746642320413</v>
      </c>
      <c r="H81" s="27"/>
      <c r="I81" s="27"/>
      <c r="J81" s="29">
        <f>F81*G81</f>
        <v>220.43797313856331</v>
      </c>
    </row>
    <row r="82" spans="1:11" x14ac:dyDescent="0.25">
      <c r="B82" s="822"/>
      <c r="C82" s="854"/>
      <c r="D82" s="916" t="s">
        <v>192</v>
      </c>
      <c r="E82" s="917"/>
      <c r="F82" s="27"/>
      <c r="G82" s="28"/>
      <c r="H82" s="27"/>
      <c r="I82" s="27"/>
      <c r="J82" s="33"/>
    </row>
    <row r="83" spans="1:11" x14ac:dyDescent="0.25">
      <c r="B83" s="60"/>
      <c r="C83" s="61"/>
      <c r="D83" s="918" t="s">
        <v>397</v>
      </c>
      <c r="E83" s="918"/>
      <c r="F83" s="27">
        <v>8</v>
      </c>
      <c r="G83" s="28">
        <v>39.9</v>
      </c>
      <c r="H83" s="27"/>
      <c r="I83" s="378"/>
      <c r="J83" s="29">
        <f>F83*G83</f>
        <v>319.2</v>
      </c>
    </row>
    <row r="84" spans="1:11" x14ac:dyDescent="0.25">
      <c r="B84" s="64"/>
      <c r="C84" s="65"/>
      <c r="D84" s="929" t="str">
        <f>D71</f>
        <v>Tovorno vozilo do 15 t sdm</v>
      </c>
      <c r="E84" s="913"/>
      <c r="F84" s="31">
        <v>4</v>
      </c>
      <c r="G84" s="382">
        <f>CENIK_št_1!K76</f>
        <v>45.263871642320417</v>
      </c>
      <c r="H84" s="31"/>
      <c r="I84" s="31"/>
      <c r="J84" s="29">
        <f>F84*G84</f>
        <v>181.05548656928167</v>
      </c>
    </row>
    <row r="85" spans="1:11" ht="15.75" thickBot="1" x14ac:dyDescent="0.3">
      <c r="B85" s="372"/>
      <c r="C85" s="373"/>
      <c r="D85" s="914" t="str">
        <f>CENIK_št_1!B77</f>
        <v>Vibracijski valjar 1,5 t</v>
      </c>
      <c r="E85" s="915"/>
      <c r="F85" s="32">
        <v>4</v>
      </c>
      <c r="G85" s="376">
        <f>CENIK_št_1!K79</f>
        <v>34.364515160838934</v>
      </c>
      <c r="H85" s="32"/>
      <c r="I85" s="32"/>
      <c r="J85" s="29">
        <f>F85*G85</f>
        <v>137.45806064335574</v>
      </c>
    </row>
    <row r="86" spans="1:11" ht="15.75" thickBot="1" x14ac:dyDescent="0.3">
      <c r="B86" s="772"/>
      <c r="C86" s="773"/>
      <c r="D86" s="754" t="s">
        <v>200</v>
      </c>
      <c r="E86" s="774"/>
      <c r="F86" s="26">
        <v>400</v>
      </c>
      <c r="G86" s="66" t="s">
        <v>227</v>
      </c>
      <c r="H86" s="26"/>
      <c r="I86" s="26">
        <v>1</v>
      </c>
      <c r="J86" s="56">
        <f>SUM(J79:J85)/F86</f>
        <v>2.2751969697297527</v>
      </c>
    </row>
    <row r="87" spans="1:11" ht="15.75" thickBot="1" x14ac:dyDescent="0.3">
      <c r="A87" s="384"/>
      <c r="B87" s="385"/>
      <c r="C87" s="385"/>
      <c r="D87" s="386"/>
      <c r="E87" s="386"/>
      <c r="F87" s="387"/>
      <c r="G87" s="388"/>
      <c r="H87" s="387"/>
      <c r="I87" s="387"/>
      <c r="J87" s="389"/>
    </row>
    <row r="88" spans="1:11" ht="16.5" thickTop="1" thickBot="1" x14ac:dyDescent="0.3"/>
    <row r="89" spans="1:11" ht="15.75" thickBot="1" x14ac:dyDescent="0.3">
      <c r="B89" s="663" t="s">
        <v>6</v>
      </c>
      <c r="C89" s="665"/>
      <c r="D89" s="663" t="s">
        <v>191</v>
      </c>
      <c r="E89" s="664"/>
      <c r="F89" s="664"/>
      <c r="G89" s="664"/>
      <c r="H89" s="664"/>
      <c r="I89" s="664"/>
      <c r="J89" s="665"/>
    </row>
    <row r="90" spans="1:11" ht="23.25" thickBot="1" x14ac:dyDescent="0.3">
      <c r="B90" s="755" t="s">
        <v>37</v>
      </c>
      <c r="C90" s="786"/>
      <c r="D90" s="800" t="s">
        <v>38</v>
      </c>
      <c r="E90" s="921"/>
      <c r="F90" s="54" t="s">
        <v>177</v>
      </c>
      <c r="G90" s="54" t="s">
        <v>165</v>
      </c>
      <c r="H90" s="54" t="s">
        <v>183</v>
      </c>
      <c r="I90" s="67" t="s">
        <v>197</v>
      </c>
      <c r="J90" s="55" t="s">
        <v>42</v>
      </c>
    </row>
    <row r="91" spans="1:11" ht="32.25" customHeight="1" x14ac:dyDescent="0.25">
      <c r="B91" s="930" t="s">
        <v>27</v>
      </c>
      <c r="C91" s="931"/>
      <c r="D91" s="904" t="s">
        <v>406</v>
      </c>
      <c r="E91" s="905"/>
      <c r="F91" s="77"/>
      <c r="G91" s="77"/>
      <c r="H91" s="77"/>
      <c r="I91" s="77"/>
      <c r="J91" s="78"/>
      <c r="K91" s="76"/>
    </row>
    <row r="92" spans="1:11" x14ac:dyDescent="0.25">
      <c r="B92" s="822"/>
      <c r="C92" s="854"/>
      <c r="D92" s="758" t="s">
        <v>178</v>
      </c>
      <c r="E92" s="759"/>
      <c r="F92" s="27"/>
      <c r="G92" s="58"/>
      <c r="H92" s="27"/>
      <c r="I92" s="27"/>
      <c r="J92" s="29"/>
    </row>
    <row r="93" spans="1:11" ht="15.75" thickBot="1" x14ac:dyDescent="0.3">
      <c r="B93" s="60"/>
      <c r="C93" s="61"/>
      <c r="D93" s="922" t="str">
        <f>CENIK_št_1!B32</f>
        <v xml:space="preserve">Komunalni delavec </v>
      </c>
      <c r="E93" s="923"/>
      <c r="F93" s="27">
        <v>2.5</v>
      </c>
      <c r="G93" s="28">
        <f>CENIK_št_1!K32</f>
        <v>20.747507542833958</v>
      </c>
      <c r="H93" s="27"/>
      <c r="I93" s="27"/>
      <c r="J93" s="29">
        <f>F93*G93</f>
        <v>51.868768857084895</v>
      </c>
    </row>
    <row r="94" spans="1:11" ht="15.75" thickBot="1" x14ac:dyDescent="0.3">
      <c r="B94" s="772"/>
      <c r="C94" s="773"/>
      <c r="D94" s="754" t="s">
        <v>410</v>
      </c>
      <c r="E94" s="774"/>
      <c r="F94" s="26">
        <v>1</v>
      </c>
      <c r="G94" s="66"/>
      <c r="H94" s="26"/>
      <c r="I94" s="26"/>
      <c r="J94" s="56">
        <f>J93</f>
        <v>51.868768857084895</v>
      </c>
    </row>
    <row r="95" spans="1:11" ht="15.75" thickBot="1" x14ac:dyDescent="0.3"/>
    <row r="96" spans="1:11" ht="15.75" thickBot="1" x14ac:dyDescent="0.3">
      <c r="B96" s="663" t="s">
        <v>6</v>
      </c>
      <c r="C96" s="665"/>
      <c r="D96" s="663" t="s">
        <v>191</v>
      </c>
      <c r="E96" s="664"/>
      <c r="F96" s="664"/>
      <c r="G96" s="664"/>
      <c r="H96" s="664"/>
      <c r="I96" s="664"/>
      <c r="J96" s="665"/>
    </row>
    <row r="97" spans="1:262" ht="23.25" thickBot="1" x14ac:dyDescent="0.3">
      <c r="B97" s="755" t="s">
        <v>37</v>
      </c>
      <c r="C97" s="786"/>
      <c r="D97" s="800" t="s">
        <v>38</v>
      </c>
      <c r="E97" s="921"/>
      <c r="F97" s="54" t="s">
        <v>177</v>
      </c>
      <c r="G97" s="54" t="s">
        <v>165</v>
      </c>
      <c r="H97" s="54" t="s">
        <v>183</v>
      </c>
      <c r="I97" s="67" t="s">
        <v>197</v>
      </c>
      <c r="J97" s="55" t="s">
        <v>42</v>
      </c>
    </row>
    <row r="98" spans="1:262" ht="31.5" customHeight="1" x14ac:dyDescent="0.25">
      <c r="B98" s="930" t="s">
        <v>28</v>
      </c>
      <c r="C98" s="931"/>
      <c r="D98" s="904" t="s">
        <v>408</v>
      </c>
      <c r="E98" s="905"/>
      <c r="F98" s="77"/>
      <c r="G98" s="77"/>
      <c r="H98" s="77"/>
      <c r="I98" s="77"/>
      <c r="J98" s="78"/>
      <c r="K98" s="76"/>
    </row>
    <row r="99" spans="1:262" x14ac:dyDescent="0.25">
      <c r="B99" s="822"/>
      <c r="C99" s="854"/>
      <c r="D99" s="758" t="s">
        <v>178</v>
      </c>
      <c r="E99" s="759"/>
      <c r="F99" s="27"/>
      <c r="G99" s="58"/>
      <c r="H99" s="27"/>
      <c r="I99" s="27"/>
      <c r="J99" s="29"/>
    </row>
    <row r="100" spans="1:262" ht="26.25" customHeight="1" x14ac:dyDescent="0.25">
      <c r="B100" s="60"/>
      <c r="C100" s="61"/>
      <c r="D100" s="908" t="str">
        <f>CENIK_št_1!B33</f>
        <v>Delovodja, Skupinovodja, Preglednik, Dispečer, Voznik, Strojnik</v>
      </c>
      <c r="E100" s="909"/>
      <c r="F100" s="27">
        <v>0.1</v>
      </c>
      <c r="G100" s="28">
        <f>CENIK_št_1!K33</f>
        <v>21.016080827612811</v>
      </c>
      <c r="H100" s="27"/>
      <c r="I100" s="27"/>
      <c r="J100" s="29">
        <f>F100*G100</f>
        <v>2.1016080827612811</v>
      </c>
    </row>
    <row r="101" spans="1:262" x14ac:dyDescent="0.25">
      <c r="B101" s="60"/>
      <c r="C101" s="61"/>
      <c r="D101" s="922" t="s">
        <v>340</v>
      </c>
      <c r="E101" s="923"/>
      <c r="F101" s="27">
        <v>0.25</v>
      </c>
      <c r="G101" s="28">
        <f>CENIK_št_1!K32</f>
        <v>20.747507542833958</v>
      </c>
      <c r="H101" s="27"/>
      <c r="I101" s="27"/>
      <c r="J101" s="29">
        <f>F101*G101</f>
        <v>5.1868768857084895</v>
      </c>
    </row>
    <row r="102" spans="1:262" x14ac:dyDescent="0.25">
      <c r="B102" s="822"/>
      <c r="C102" s="854"/>
      <c r="D102" s="916" t="s">
        <v>192</v>
      </c>
      <c r="E102" s="917"/>
      <c r="F102" s="27"/>
      <c r="G102" s="28"/>
      <c r="H102" s="27"/>
      <c r="I102" s="27"/>
      <c r="J102" s="33"/>
    </row>
    <row r="103" spans="1:262" ht="15.75" thickBot="1" x14ac:dyDescent="0.3">
      <c r="B103" s="60"/>
      <c r="C103" s="61"/>
      <c r="D103" s="918" t="s">
        <v>397</v>
      </c>
      <c r="E103" s="918"/>
      <c r="F103" s="27">
        <v>0.25</v>
      </c>
      <c r="G103" s="28">
        <v>39.9</v>
      </c>
      <c r="H103" s="27"/>
      <c r="I103" s="378"/>
      <c r="J103" s="29">
        <f>F103*G103</f>
        <v>9.9749999999999996</v>
      </c>
    </row>
    <row r="104" spans="1:262" ht="15.75" thickBot="1" x14ac:dyDescent="0.3">
      <c r="B104" s="772"/>
      <c r="C104" s="773"/>
      <c r="D104" s="754" t="s">
        <v>203</v>
      </c>
      <c r="E104" s="774"/>
      <c r="F104" s="26"/>
      <c r="G104" s="66"/>
      <c r="H104" s="26"/>
      <c r="I104" s="26">
        <v>1</v>
      </c>
      <c r="J104" s="56">
        <f>SUM(J100:J103)</f>
        <v>17.263484968469768</v>
      </c>
    </row>
    <row r="105" spans="1:262" ht="15.75" thickBot="1" x14ac:dyDescent="0.3">
      <c r="B105" s="199"/>
      <c r="C105" s="199"/>
      <c r="D105" s="200"/>
      <c r="E105" s="200"/>
      <c r="F105" s="201"/>
      <c r="G105" s="202"/>
      <c r="H105" s="201"/>
      <c r="I105" s="201"/>
      <c r="J105" s="203"/>
    </row>
    <row r="106" spans="1:262" ht="15.75" thickBot="1" x14ac:dyDescent="0.3">
      <c r="B106" s="663" t="s">
        <v>6</v>
      </c>
      <c r="C106" s="665"/>
      <c r="D106" s="663" t="s">
        <v>191</v>
      </c>
      <c r="E106" s="664"/>
      <c r="F106" s="664"/>
      <c r="G106" s="664"/>
      <c r="H106" s="664"/>
      <c r="I106" s="664"/>
      <c r="J106" s="665"/>
    </row>
    <row r="107" spans="1:262" ht="23.25" customHeight="1" thickBot="1" x14ac:dyDescent="0.3">
      <c r="B107" s="755" t="s">
        <v>37</v>
      </c>
      <c r="C107" s="786"/>
      <c r="D107" s="800" t="s">
        <v>38</v>
      </c>
      <c r="E107" s="921"/>
      <c r="F107" s="54" t="s">
        <v>177</v>
      </c>
      <c r="G107" s="54" t="s">
        <v>165</v>
      </c>
      <c r="H107" s="54" t="s">
        <v>183</v>
      </c>
      <c r="I107" s="67" t="s">
        <v>197</v>
      </c>
      <c r="J107" s="55" t="s">
        <v>42</v>
      </c>
    </row>
    <row r="108" spans="1:262" ht="53.25" customHeight="1" x14ac:dyDescent="0.25">
      <c r="B108" s="930" t="s">
        <v>29</v>
      </c>
      <c r="C108" s="931"/>
      <c r="D108" s="904" t="s">
        <v>409</v>
      </c>
      <c r="E108" s="905"/>
      <c r="F108" s="77"/>
      <c r="G108" s="77"/>
      <c r="H108" s="77"/>
      <c r="I108" s="77"/>
      <c r="J108" s="78"/>
    </row>
    <row r="109" spans="1:262" x14ac:dyDescent="0.25">
      <c r="B109" s="822"/>
      <c r="C109" s="854"/>
      <c r="D109" s="758" t="s">
        <v>178</v>
      </c>
      <c r="E109" s="759"/>
      <c r="F109" s="27"/>
      <c r="G109" s="58"/>
      <c r="H109" s="27"/>
      <c r="I109" s="27"/>
      <c r="J109" s="29"/>
    </row>
    <row r="110" spans="1:262" s="61" customFormat="1" ht="21.75" customHeight="1" x14ac:dyDescent="0.25">
      <c r="A110" s="226"/>
      <c r="B110" s="60"/>
      <c r="D110" s="908" t="str">
        <f>CENIK_št_1!B33</f>
        <v>Delovodja, Skupinovodja, Preglednik, Dispečer, Voznik, Strojnik</v>
      </c>
      <c r="E110" s="909"/>
      <c r="F110" s="27">
        <v>0.15</v>
      </c>
      <c r="G110" s="28">
        <f>CENIK_št_1!K33</f>
        <v>21.016080827612811</v>
      </c>
      <c r="H110" s="27"/>
      <c r="I110" s="27"/>
      <c r="J110" s="29">
        <f>F110*G110</f>
        <v>3.1524121241419216</v>
      </c>
      <c r="K110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26"/>
      <c r="AK110" s="226"/>
      <c r="AL110" s="226"/>
      <c r="AM110" s="226"/>
      <c r="AN110" s="226"/>
      <c r="AO110" s="226"/>
      <c r="AP110" s="226"/>
      <c r="AQ110" s="226"/>
      <c r="AR110" s="226"/>
      <c r="AS110" s="226"/>
      <c r="AT110" s="226"/>
      <c r="AU110" s="226"/>
      <c r="AV110" s="226"/>
      <c r="AW110" s="226"/>
      <c r="AX110" s="226"/>
      <c r="AY110" s="226"/>
      <c r="AZ110" s="226"/>
      <c r="BA110" s="226"/>
      <c r="BB110" s="226"/>
      <c r="BC110" s="226"/>
      <c r="BD110" s="226"/>
      <c r="BE110" s="226"/>
      <c r="BF110" s="226"/>
      <c r="BG110" s="226"/>
      <c r="BH110" s="226"/>
      <c r="BI110" s="226"/>
      <c r="BJ110" s="226"/>
      <c r="BK110" s="226"/>
      <c r="BL110" s="226"/>
      <c r="BM110" s="226"/>
      <c r="BN110" s="226"/>
      <c r="BO110" s="226"/>
      <c r="BP110" s="226"/>
      <c r="BQ110" s="226"/>
      <c r="BR110" s="226"/>
      <c r="BS110" s="226"/>
      <c r="BT110" s="226"/>
      <c r="BU110" s="226"/>
      <c r="BV110" s="226"/>
      <c r="BW110" s="226"/>
      <c r="BX110" s="226"/>
      <c r="BY110" s="226"/>
      <c r="BZ110" s="226"/>
      <c r="CA110" s="226"/>
      <c r="CB110" s="226"/>
      <c r="CC110" s="226"/>
      <c r="CD110" s="226"/>
      <c r="CE110" s="226"/>
      <c r="CF110" s="226"/>
      <c r="CG110" s="226"/>
      <c r="CH110" s="226"/>
      <c r="CI110" s="226"/>
      <c r="CJ110" s="226"/>
      <c r="CK110" s="226"/>
      <c r="CL110" s="226"/>
      <c r="CM110" s="226"/>
      <c r="CN110" s="226"/>
      <c r="CO110" s="226"/>
      <c r="CP110" s="226"/>
      <c r="CQ110" s="226"/>
      <c r="CR110" s="226"/>
      <c r="CS110" s="226"/>
      <c r="CT110" s="226"/>
      <c r="CU110" s="226"/>
      <c r="CV110" s="226"/>
      <c r="CW110" s="226"/>
      <c r="CX110" s="226"/>
      <c r="CY110" s="226"/>
      <c r="CZ110" s="226"/>
      <c r="DA110" s="226"/>
      <c r="DB110" s="226"/>
      <c r="DC110" s="226"/>
      <c r="DD110" s="226"/>
      <c r="DE110" s="226"/>
      <c r="DF110" s="226"/>
      <c r="DG110" s="226"/>
      <c r="DH110" s="226"/>
      <c r="DI110" s="226"/>
      <c r="DJ110" s="226"/>
      <c r="DK110" s="226"/>
      <c r="DL110" s="226"/>
      <c r="DM110" s="226"/>
      <c r="DN110" s="226"/>
      <c r="DO110" s="226"/>
      <c r="DP110" s="226"/>
      <c r="DQ110" s="226"/>
      <c r="DR110" s="226"/>
      <c r="DS110" s="226"/>
      <c r="DT110" s="226"/>
      <c r="DU110" s="226"/>
      <c r="DV110" s="226"/>
      <c r="DW110" s="226"/>
      <c r="DX110" s="226"/>
      <c r="DY110" s="226"/>
      <c r="DZ110" s="226"/>
      <c r="EA110" s="226"/>
      <c r="EB110" s="226"/>
      <c r="EC110" s="226"/>
      <c r="ED110" s="226"/>
      <c r="EE110" s="226"/>
      <c r="EF110" s="226"/>
      <c r="EG110" s="226"/>
      <c r="EH110" s="226"/>
      <c r="EI110" s="226"/>
      <c r="EJ110" s="226"/>
      <c r="EK110" s="226"/>
      <c r="EL110" s="226"/>
      <c r="EM110" s="226"/>
      <c r="EN110" s="226"/>
      <c r="EO110" s="226"/>
      <c r="EP110" s="226"/>
      <c r="EQ110" s="226"/>
      <c r="ER110" s="226"/>
      <c r="ES110" s="226"/>
      <c r="ET110" s="226"/>
      <c r="EU110" s="226"/>
      <c r="EV110" s="226"/>
      <c r="EW110" s="226"/>
      <c r="EX110" s="226"/>
      <c r="EY110" s="226"/>
      <c r="EZ110" s="226"/>
      <c r="FA110" s="226"/>
      <c r="FB110" s="226"/>
      <c r="FC110" s="226"/>
      <c r="FD110" s="226"/>
      <c r="FE110" s="226"/>
      <c r="FF110" s="226"/>
      <c r="FG110" s="226"/>
      <c r="FH110" s="226"/>
      <c r="FI110" s="226"/>
      <c r="FJ110" s="226"/>
      <c r="FK110" s="226"/>
      <c r="FL110" s="226"/>
      <c r="FM110" s="226"/>
      <c r="FN110" s="226"/>
      <c r="FO110" s="226"/>
      <c r="FP110" s="226"/>
      <c r="FQ110" s="226"/>
      <c r="FR110" s="226"/>
      <c r="FS110" s="226"/>
      <c r="FT110" s="226"/>
      <c r="FU110" s="226"/>
      <c r="FV110" s="226"/>
      <c r="FW110" s="226"/>
      <c r="FX110" s="226"/>
      <c r="FY110" s="226"/>
      <c r="FZ110" s="226"/>
      <c r="GA110" s="226"/>
      <c r="GB110" s="226"/>
      <c r="GC110" s="226"/>
      <c r="GD110" s="226"/>
      <c r="GE110" s="226"/>
      <c r="GF110" s="226"/>
      <c r="GG110" s="226"/>
      <c r="GH110" s="226"/>
      <c r="GI110" s="226"/>
      <c r="GJ110" s="226"/>
      <c r="GK110" s="226"/>
      <c r="GL110" s="226"/>
      <c r="GM110" s="226"/>
      <c r="GN110" s="226"/>
      <c r="GO110" s="226"/>
      <c r="GP110" s="226"/>
      <c r="GQ110" s="226"/>
      <c r="GR110" s="226"/>
      <c r="GS110" s="226"/>
      <c r="GT110" s="226"/>
      <c r="GU110" s="226"/>
      <c r="GV110" s="226"/>
      <c r="GW110" s="226"/>
      <c r="GX110" s="226"/>
      <c r="GY110" s="226"/>
      <c r="GZ110" s="226"/>
      <c r="HA110" s="226"/>
      <c r="HB110" s="226"/>
      <c r="HC110" s="226"/>
      <c r="HD110" s="226"/>
      <c r="HE110" s="226"/>
      <c r="HF110" s="226"/>
      <c r="HG110" s="226"/>
      <c r="HH110" s="226"/>
      <c r="HI110" s="226"/>
      <c r="HJ110" s="226"/>
      <c r="HK110" s="226"/>
      <c r="HL110" s="226"/>
      <c r="HM110" s="226"/>
      <c r="HN110" s="226"/>
      <c r="HO110" s="226"/>
      <c r="HP110" s="226"/>
      <c r="HQ110" s="226"/>
      <c r="HR110" s="226"/>
      <c r="HS110" s="226"/>
      <c r="HT110" s="226"/>
      <c r="HU110" s="226"/>
      <c r="HV110" s="226"/>
      <c r="HW110" s="226"/>
      <c r="HX110" s="226"/>
      <c r="HY110" s="226"/>
      <c r="HZ110" s="226"/>
      <c r="IA110" s="226"/>
      <c r="IB110" s="226"/>
      <c r="IC110" s="226"/>
      <c r="ID110" s="226"/>
      <c r="IE110" s="226"/>
      <c r="IF110" s="226"/>
      <c r="IG110" s="226"/>
      <c r="IH110" s="226"/>
      <c r="II110" s="226"/>
      <c r="IJ110" s="226"/>
      <c r="IK110" s="226"/>
      <c r="IL110" s="226"/>
      <c r="IM110" s="226"/>
      <c r="IN110" s="226"/>
      <c r="IO110" s="226"/>
      <c r="IP110" s="226"/>
      <c r="IQ110" s="226"/>
      <c r="IR110" s="226"/>
      <c r="IS110" s="226"/>
      <c r="IT110" s="226"/>
      <c r="IU110" s="226"/>
      <c r="IV110" s="226"/>
      <c r="IW110" s="226"/>
      <c r="IX110" s="226"/>
      <c r="IY110" s="226"/>
      <c r="IZ110" s="226"/>
      <c r="JA110" s="226"/>
      <c r="JB110" s="226"/>
    </row>
    <row r="111" spans="1:262" x14ac:dyDescent="0.25">
      <c r="B111" s="60"/>
      <c r="C111" s="61"/>
      <c r="D111" s="922" t="s">
        <v>340</v>
      </c>
      <c r="E111" s="923"/>
      <c r="F111" s="27">
        <v>0.35</v>
      </c>
      <c r="G111" s="28">
        <f>CENIK_št_1!K32</f>
        <v>20.747507542833958</v>
      </c>
      <c r="H111" s="27"/>
      <c r="I111" s="27"/>
      <c r="J111" s="29">
        <f>F111*G111</f>
        <v>7.2616276399918851</v>
      </c>
    </row>
    <row r="112" spans="1:262" x14ac:dyDescent="0.25">
      <c r="B112" s="822"/>
      <c r="C112" s="854"/>
      <c r="D112" s="916" t="s">
        <v>192</v>
      </c>
      <c r="E112" s="917"/>
      <c r="F112" s="27"/>
      <c r="G112" s="28"/>
      <c r="H112" s="27"/>
      <c r="I112" s="27"/>
      <c r="J112" s="33"/>
    </row>
    <row r="113" spans="2:11" ht="15.75" thickBot="1" x14ac:dyDescent="0.3">
      <c r="B113" s="60"/>
      <c r="C113" s="61"/>
      <c r="D113" s="918" t="s">
        <v>397</v>
      </c>
      <c r="E113" s="918"/>
      <c r="F113" s="27">
        <v>0.35</v>
      </c>
      <c r="G113" s="28">
        <v>39.9</v>
      </c>
      <c r="H113" s="27"/>
      <c r="I113" s="378"/>
      <c r="J113" s="29">
        <f>F113*G113</f>
        <v>13.964999999999998</v>
      </c>
    </row>
    <row r="114" spans="2:11" ht="15.75" thickBot="1" x14ac:dyDescent="0.3">
      <c r="B114" s="772"/>
      <c r="C114" s="773"/>
      <c r="D114" s="754" t="s">
        <v>203</v>
      </c>
      <c r="E114" s="774"/>
      <c r="F114" s="26"/>
      <c r="G114" s="66"/>
      <c r="H114" s="26"/>
      <c r="I114" s="26">
        <v>1</v>
      </c>
      <c r="J114" s="56">
        <f>SUM(J110:J113)</f>
        <v>24.379039764133807</v>
      </c>
    </row>
    <row r="115" spans="2:11" x14ac:dyDescent="0.25">
      <c r="B115" s="199"/>
      <c r="C115" s="199"/>
      <c r="D115" s="200"/>
      <c r="E115" s="200"/>
      <c r="F115" s="201"/>
      <c r="G115" s="202"/>
      <c r="H115" s="201"/>
      <c r="I115" s="201"/>
      <c r="J115" s="203"/>
    </row>
    <row r="116" spans="2:11" ht="15.75" thickBot="1" x14ac:dyDescent="0.3">
      <c r="B116" s="63"/>
      <c r="C116" s="63"/>
      <c r="D116" s="63"/>
      <c r="E116" s="63"/>
      <c r="F116" s="63"/>
      <c r="G116" s="63"/>
      <c r="H116" s="63"/>
      <c r="I116" s="63"/>
      <c r="J116" s="63"/>
    </row>
    <row r="117" spans="2:11" ht="15.75" thickTop="1" x14ac:dyDescent="0.25"/>
    <row r="118" spans="2:11" ht="15.75" thickBot="1" x14ac:dyDescent="0.3"/>
    <row r="119" spans="2:11" ht="15.75" thickBot="1" x14ac:dyDescent="0.3">
      <c r="B119" s="663" t="s">
        <v>9</v>
      </c>
      <c r="C119" s="665"/>
      <c r="D119" s="663" t="s">
        <v>132</v>
      </c>
      <c r="E119" s="664"/>
      <c r="F119" s="664"/>
      <c r="G119" s="664"/>
      <c r="H119" s="664"/>
      <c r="I119" s="664"/>
      <c r="J119" s="665"/>
    </row>
    <row r="120" spans="2:11" ht="23.25" thickBot="1" x14ac:dyDescent="0.3">
      <c r="B120" s="755" t="s">
        <v>37</v>
      </c>
      <c r="C120" s="786"/>
      <c r="D120" s="800" t="s">
        <v>38</v>
      </c>
      <c r="E120" s="921"/>
      <c r="F120" s="54" t="s">
        <v>177</v>
      </c>
      <c r="G120" s="54" t="s">
        <v>165</v>
      </c>
      <c r="H120" s="54" t="s">
        <v>183</v>
      </c>
      <c r="I120" s="67" t="s">
        <v>198</v>
      </c>
      <c r="J120" s="55" t="s">
        <v>42</v>
      </c>
    </row>
    <row r="121" spans="2:11" ht="35.25" customHeight="1" x14ac:dyDescent="0.25">
      <c r="B121" s="789" t="s">
        <v>52</v>
      </c>
      <c r="C121" s="790"/>
      <c r="D121" s="904" t="s">
        <v>412</v>
      </c>
      <c r="E121" s="905"/>
      <c r="F121" s="82"/>
      <c r="G121" s="82"/>
      <c r="H121" s="82"/>
      <c r="I121" s="82"/>
      <c r="J121" s="83"/>
    </row>
    <row r="122" spans="2:11" x14ac:dyDescent="0.25">
      <c r="B122" s="822"/>
      <c r="C122" s="854"/>
      <c r="D122" s="758" t="s">
        <v>178</v>
      </c>
      <c r="E122" s="759"/>
      <c r="F122" s="27"/>
      <c r="G122" s="58"/>
      <c r="H122" s="27"/>
      <c r="I122" s="27"/>
      <c r="J122" s="29"/>
    </row>
    <row r="123" spans="2:11" ht="35.25" customHeight="1" x14ac:dyDescent="0.25">
      <c r="B123" s="60"/>
      <c r="C123" s="61"/>
      <c r="D123" s="339"/>
      <c r="E123" s="390" t="str">
        <f>CENIK_št_1!B33</f>
        <v>Delovodja, Skupinovodja, Preglednik, Dispečer, Voznik, Strojnik</v>
      </c>
      <c r="F123" s="27">
        <v>0.1</v>
      </c>
      <c r="G123" s="28">
        <f>CENIK_št_1!K33</f>
        <v>21.016080827612811</v>
      </c>
      <c r="H123" s="27"/>
      <c r="I123" s="27"/>
      <c r="J123" s="29">
        <f>F123*G123</f>
        <v>2.1016080827612811</v>
      </c>
    </row>
    <row r="124" spans="2:11" x14ac:dyDescent="0.25">
      <c r="B124" s="60"/>
      <c r="C124" s="61"/>
      <c r="D124" s="922" t="str">
        <f>CENIK_št_1!B32</f>
        <v xml:space="preserve">Komunalni delavec </v>
      </c>
      <c r="E124" s="923"/>
      <c r="F124" s="27">
        <v>1</v>
      </c>
      <c r="G124" s="28">
        <f>CENIK_št_1!K32</f>
        <v>20.747507542833958</v>
      </c>
      <c r="H124" s="27"/>
      <c r="I124" s="27"/>
      <c r="J124" s="29">
        <f>F124*G124</f>
        <v>20.747507542833958</v>
      </c>
    </row>
    <row r="125" spans="2:11" x14ac:dyDescent="0.25">
      <c r="B125" s="64"/>
      <c r="C125" s="65"/>
      <c r="D125" s="780" t="s">
        <v>179</v>
      </c>
      <c r="E125" s="781"/>
      <c r="F125" s="31"/>
      <c r="G125" s="80"/>
      <c r="H125" s="31"/>
      <c r="I125" s="31"/>
      <c r="J125" s="79"/>
    </row>
    <row r="126" spans="2:11" ht="15" customHeight="1" x14ac:dyDescent="0.25">
      <c r="B126" s="64"/>
      <c r="C126" s="65"/>
      <c r="D126" s="868" t="s">
        <v>13</v>
      </c>
      <c r="E126" s="924"/>
      <c r="F126" s="91">
        <v>0.25</v>
      </c>
      <c r="G126" s="92">
        <f>CENIK_št_1!K54</f>
        <v>33.810121642320418</v>
      </c>
      <c r="H126" s="90"/>
      <c r="I126" s="90"/>
      <c r="J126" s="93">
        <f>F126*G126</f>
        <v>8.4525304105801045</v>
      </c>
      <c r="K126" s="76"/>
    </row>
    <row r="127" spans="2:11" x14ac:dyDescent="0.25">
      <c r="B127" s="822"/>
      <c r="C127" s="854"/>
      <c r="D127" s="753" t="s">
        <v>180</v>
      </c>
      <c r="E127" s="872"/>
      <c r="F127" s="27"/>
      <c r="G127" s="58"/>
      <c r="H127" s="27"/>
      <c r="I127" s="27"/>
      <c r="J127" s="29"/>
    </row>
    <row r="128" spans="2:11" x14ac:dyDescent="0.25">
      <c r="B128" s="60"/>
      <c r="C128" s="61"/>
      <c r="D128" s="925" t="s">
        <v>193</v>
      </c>
      <c r="E128" s="926"/>
      <c r="F128" s="27"/>
      <c r="G128" s="28"/>
      <c r="H128" s="27">
        <v>2</v>
      </c>
      <c r="I128" s="27">
        <v>1</v>
      </c>
      <c r="J128" s="29">
        <f>H128*I128</f>
        <v>2</v>
      </c>
    </row>
    <row r="129" spans="2:11" x14ac:dyDescent="0.25">
      <c r="B129" s="64"/>
      <c r="C129" s="65"/>
      <c r="D129" s="780" t="s">
        <v>202</v>
      </c>
      <c r="E129" s="781"/>
      <c r="F129" s="31"/>
      <c r="G129" s="80"/>
      <c r="H129" s="31">
        <v>0.75</v>
      </c>
      <c r="I129" s="31">
        <v>1</v>
      </c>
      <c r="J129" s="79">
        <f>H129*I129</f>
        <v>0.75</v>
      </c>
    </row>
    <row r="130" spans="2:11" ht="15" customHeight="1" thickBot="1" x14ac:dyDescent="0.3">
      <c r="B130" s="64"/>
      <c r="C130" s="65"/>
      <c r="D130" s="927" t="s">
        <v>201</v>
      </c>
      <c r="E130" s="928"/>
      <c r="F130" s="91"/>
      <c r="G130" s="92"/>
      <c r="H130" s="31">
        <v>1.5</v>
      </c>
      <c r="I130" s="31">
        <v>0.1</v>
      </c>
      <c r="J130" s="79">
        <f>H130*I130</f>
        <v>0.15000000000000002</v>
      </c>
      <c r="K130" s="76"/>
    </row>
    <row r="131" spans="2:11" ht="15.75" thickBot="1" x14ac:dyDescent="0.3">
      <c r="B131" s="772"/>
      <c r="C131" s="773"/>
      <c r="D131" s="754" t="s">
        <v>204</v>
      </c>
      <c r="E131" s="774"/>
      <c r="F131" s="26"/>
      <c r="G131" s="66"/>
      <c r="H131" s="26"/>
      <c r="I131" s="26">
        <v>1</v>
      </c>
      <c r="J131" s="56">
        <f>SUM(J123:J130)</f>
        <v>34.20164603617534</v>
      </c>
    </row>
    <row r="132" spans="2:11" ht="15.75" thickBot="1" x14ac:dyDescent="0.3">
      <c r="J132" s="59"/>
    </row>
    <row r="133" spans="2:11" ht="15.75" thickBot="1" x14ac:dyDescent="0.3">
      <c r="B133" s="663" t="s">
        <v>9</v>
      </c>
      <c r="C133" s="665"/>
      <c r="D133" s="663" t="s">
        <v>132</v>
      </c>
      <c r="E133" s="664"/>
      <c r="F133" s="664"/>
      <c r="G133" s="664"/>
      <c r="H133" s="664"/>
      <c r="I133" s="664"/>
      <c r="J133" s="665"/>
    </row>
    <row r="134" spans="2:11" ht="23.25" thickBot="1" x14ac:dyDescent="0.3">
      <c r="B134" s="755" t="s">
        <v>37</v>
      </c>
      <c r="C134" s="786"/>
      <c r="D134" s="800" t="s">
        <v>38</v>
      </c>
      <c r="E134" s="921"/>
      <c r="F134" s="54" t="s">
        <v>177</v>
      </c>
      <c r="G134" s="54" t="s">
        <v>165</v>
      </c>
      <c r="H134" s="54" t="s">
        <v>183</v>
      </c>
      <c r="I134" s="67" t="s">
        <v>198</v>
      </c>
      <c r="J134" s="55" t="s">
        <v>42</v>
      </c>
    </row>
    <row r="135" spans="2:11" ht="26.25" customHeight="1" x14ac:dyDescent="0.25">
      <c r="B135" s="789" t="s">
        <v>54</v>
      </c>
      <c r="C135" s="790"/>
      <c r="D135" s="904" t="s">
        <v>411</v>
      </c>
      <c r="E135" s="905"/>
      <c r="F135" s="82"/>
      <c r="G135" s="82"/>
      <c r="H135" s="82"/>
      <c r="I135" s="82"/>
      <c r="J135" s="83"/>
    </row>
    <row r="136" spans="2:11" x14ac:dyDescent="0.25">
      <c r="B136" s="822"/>
      <c r="C136" s="854"/>
      <c r="D136" s="758" t="s">
        <v>178</v>
      </c>
      <c r="E136" s="759"/>
      <c r="F136" s="27"/>
      <c r="G136" s="58"/>
      <c r="H136" s="27"/>
      <c r="I136" s="27"/>
      <c r="J136" s="29"/>
    </row>
    <row r="137" spans="2:11" ht="34.5" x14ac:dyDescent="0.25">
      <c r="B137" s="60"/>
      <c r="C137" s="61"/>
      <c r="D137" s="339"/>
      <c r="E137" s="390" t="str">
        <f>CENIK_št_1!B33</f>
        <v>Delovodja, Skupinovodja, Preglednik, Dispečer, Voznik, Strojnik</v>
      </c>
      <c r="F137" s="27">
        <v>0.1</v>
      </c>
      <c r="G137" s="28">
        <f>CENIK_št_1!K33</f>
        <v>21.016080827612811</v>
      </c>
      <c r="H137" s="27"/>
      <c r="I137" s="27"/>
      <c r="J137" s="29">
        <f>F137*G137</f>
        <v>2.1016080827612811</v>
      </c>
    </row>
    <row r="138" spans="2:11" x14ac:dyDescent="0.25">
      <c r="B138" s="60"/>
      <c r="C138" s="61"/>
      <c r="D138" s="922" t="s">
        <v>340</v>
      </c>
      <c r="E138" s="923"/>
      <c r="F138" s="27">
        <v>0.75</v>
      </c>
      <c r="G138" s="28">
        <f>CENIK_št_1!K32</f>
        <v>20.747507542833958</v>
      </c>
      <c r="H138" s="27"/>
      <c r="I138" s="27"/>
      <c r="J138" s="29">
        <f>F138*G138</f>
        <v>15.560630657125468</v>
      </c>
    </row>
    <row r="139" spans="2:11" x14ac:dyDescent="0.25">
      <c r="B139" s="64"/>
      <c r="C139" s="65"/>
      <c r="D139" s="780" t="s">
        <v>179</v>
      </c>
      <c r="E139" s="781"/>
      <c r="F139" s="31"/>
      <c r="G139" s="80"/>
      <c r="H139" s="31"/>
      <c r="I139" s="31"/>
      <c r="J139" s="79"/>
    </row>
    <row r="140" spans="2:11" x14ac:dyDescent="0.25">
      <c r="B140" s="64"/>
      <c r="C140" s="65"/>
      <c r="D140" s="868" t="s">
        <v>13</v>
      </c>
      <c r="E140" s="924"/>
      <c r="F140" s="91">
        <v>0.25</v>
      </c>
      <c r="G140" s="92">
        <f>CENIK_št_1!K54</f>
        <v>33.810121642320418</v>
      </c>
      <c r="H140" s="90"/>
      <c r="I140" s="90"/>
      <c r="J140" s="93">
        <f>F140*G140</f>
        <v>8.4525304105801045</v>
      </c>
    </row>
    <row r="141" spans="2:11" x14ac:dyDescent="0.25">
      <c r="B141" s="822"/>
      <c r="C141" s="854"/>
      <c r="D141" s="753" t="s">
        <v>180</v>
      </c>
      <c r="E141" s="872"/>
      <c r="F141" s="27"/>
      <c r="G141" s="58"/>
      <c r="H141" s="27"/>
      <c r="I141" s="27"/>
      <c r="J141" s="29"/>
    </row>
    <row r="142" spans="2:11" x14ac:dyDescent="0.25">
      <c r="B142" s="60"/>
      <c r="C142" s="61"/>
      <c r="D142" s="925" t="s">
        <v>193</v>
      </c>
      <c r="E142" s="926"/>
      <c r="F142" s="27"/>
      <c r="G142" s="28"/>
      <c r="H142" s="27">
        <v>2</v>
      </c>
      <c r="I142" s="27">
        <v>1</v>
      </c>
      <c r="J142" s="29">
        <f>H142*I142</f>
        <v>2</v>
      </c>
    </row>
    <row r="143" spans="2:11" x14ac:dyDescent="0.25">
      <c r="B143" s="64"/>
      <c r="C143" s="65"/>
      <c r="D143" s="780" t="s">
        <v>202</v>
      </c>
      <c r="E143" s="781"/>
      <c r="F143" s="31"/>
      <c r="G143" s="80"/>
      <c r="H143" s="31">
        <v>0.75</v>
      </c>
      <c r="I143" s="31">
        <v>1</v>
      </c>
      <c r="J143" s="79">
        <f>H143*I143</f>
        <v>0.75</v>
      </c>
    </row>
    <row r="144" spans="2:11" ht="15.75" thickBot="1" x14ac:dyDescent="0.3">
      <c r="B144" s="64"/>
      <c r="C144" s="65"/>
      <c r="D144" s="927" t="s">
        <v>201</v>
      </c>
      <c r="E144" s="928"/>
      <c r="F144" s="91"/>
      <c r="G144" s="92"/>
      <c r="H144" s="31">
        <v>1.5</v>
      </c>
      <c r="I144" s="31">
        <v>0.1</v>
      </c>
      <c r="J144" s="79">
        <f>H144*I144</f>
        <v>0.15000000000000002</v>
      </c>
    </row>
    <row r="145" spans="2:10" ht="15.75" thickBot="1" x14ac:dyDescent="0.3">
      <c r="B145" s="772"/>
      <c r="C145" s="773"/>
      <c r="D145" s="754" t="s">
        <v>204</v>
      </c>
      <c r="E145" s="774"/>
      <c r="F145" s="26"/>
      <c r="G145" s="66"/>
      <c r="H145" s="26"/>
      <c r="I145" s="26">
        <v>1</v>
      </c>
      <c r="J145" s="56">
        <f>SUM(J137:J144)</f>
        <v>29.014769150466854</v>
      </c>
    </row>
    <row r="146" spans="2:10" x14ac:dyDescent="0.25">
      <c r="J146" s="59"/>
    </row>
    <row r="147" spans="2:10" ht="15.75" thickBot="1" x14ac:dyDescent="0.3">
      <c r="B147" s="63"/>
      <c r="C147" s="63"/>
      <c r="D147" s="63"/>
      <c r="E147" s="63"/>
      <c r="F147" s="63"/>
      <c r="G147" s="63"/>
      <c r="H147" s="63"/>
      <c r="I147" s="63"/>
      <c r="J147" s="63"/>
    </row>
    <row r="148" spans="2:10" ht="15.75" thickTop="1" x14ac:dyDescent="0.25"/>
    <row r="149" spans="2:10" ht="15.75" thickBot="1" x14ac:dyDescent="0.3"/>
    <row r="150" spans="2:10" ht="15.75" customHeight="1" thickBot="1" x14ac:dyDescent="0.3">
      <c r="B150" s="663" t="s">
        <v>77</v>
      </c>
      <c r="C150" s="665"/>
      <c r="D150" s="663" t="s">
        <v>133</v>
      </c>
      <c r="E150" s="664"/>
      <c r="F150" s="664"/>
      <c r="G150" s="664"/>
      <c r="H150" s="664"/>
      <c r="I150" s="664"/>
      <c r="J150" s="665"/>
    </row>
    <row r="151" spans="2:10" ht="23.25" thickBot="1" x14ac:dyDescent="0.3">
      <c r="B151" s="755" t="s">
        <v>37</v>
      </c>
      <c r="C151" s="786"/>
      <c r="D151" s="800" t="s">
        <v>38</v>
      </c>
      <c r="E151" s="801"/>
      <c r="F151" s="54" t="s">
        <v>177</v>
      </c>
      <c r="G151" s="54" t="s">
        <v>165</v>
      </c>
      <c r="H151" s="54" t="s">
        <v>183</v>
      </c>
      <c r="I151" s="67" t="s">
        <v>198</v>
      </c>
      <c r="J151" s="55" t="s">
        <v>42</v>
      </c>
    </row>
    <row r="152" spans="2:10" ht="39" customHeight="1" x14ac:dyDescent="0.25">
      <c r="B152" s="789" t="s">
        <v>78</v>
      </c>
      <c r="C152" s="790"/>
      <c r="D152" s="904" t="s">
        <v>420</v>
      </c>
      <c r="E152" s="905"/>
      <c r="F152" s="82"/>
      <c r="G152" s="82"/>
      <c r="H152" s="82"/>
      <c r="I152" s="82"/>
      <c r="J152" s="83"/>
    </row>
    <row r="153" spans="2:10" ht="15" customHeight="1" x14ac:dyDescent="0.25">
      <c r="B153" s="822"/>
      <c r="C153" s="854"/>
      <c r="D153" s="758" t="s">
        <v>178</v>
      </c>
      <c r="E153" s="759"/>
      <c r="F153" s="27"/>
      <c r="G153" s="58"/>
      <c r="H153" s="27"/>
      <c r="I153" s="27"/>
      <c r="J153" s="29"/>
    </row>
    <row r="154" spans="2:10" ht="35.25" customHeight="1" x14ac:dyDescent="0.25">
      <c r="B154" s="60"/>
      <c r="C154" s="61"/>
      <c r="D154" s="338"/>
      <c r="E154" s="345" t="str">
        <f>CENIK_št_1!B33</f>
        <v>Delovodja, Skupinovodja, Preglednik, Dispečer, Voznik, Strojnik</v>
      </c>
      <c r="F154" s="27">
        <v>2.5000000000000001E-2</v>
      </c>
      <c r="G154" s="28">
        <f>CENIK_št_1!K33</f>
        <v>21.016080827612811</v>
      </c>
      <c r="H154" s="27"/>
      <c r="I154" s="27"/>
      <c r="J154" s="29">
        <f>F154*G154</f>
        <v>0.52540202069032027</v>
      </c>
    </row>
    <row r="155" spans="2:10" ht="15" customHeight="1" x14ac:dyDescent="0.25">
      <c r="B155" s="60"/>
      <c r="C155" s="61"/>
      <c r="D155" s="910" t="str">
        <f>CENIK_št_1!B32</f>
        <v xml:space="preserve">Komunalni delavec </v>
      </c>
      <c r="E155" s="885"/>
      <c r="F155" s="27">
        <v>0.1</v>
      </c>
      <c r="G155" s="28">
        <f>G124</f>
        <v>20.747507542833958</v>
      </c>
      <c r="H155" s="27"/>
      <c r="I155" s="27"/>
      <c r="J155" s="29">
        <f>F155*G155</f>
        <v>2.0747507542833961</v>
      </c>
    </row>
    <row r="156" spans="2:10" ht="15" customHeight="1" x14ac:dyDescent="0.25">
      <c r="B156" s="64"/>
      <c r="C156" s="65"/>
      <c r="D156" s="780" t="s">
        <v>179</v>
      </c>
      <c r="E156" s="781"/>
      <c r="F156" s="31"/>
      <c r="G156" s="80"/>
      <c r="H156" s="31"/>
      <c r="I156" s="31"/>
      <c r="J156" s="79"/>
    </row>
    <row r="157" spans="2:10" ht="15" customHeight="1" x14ac:dyDescent="0.25">
      <c r="B157" s="64"/>
      <c r="C157" s="65"/>
      <c r="D157" s="868" t="s">
        <v>13</v>
      </c>
      <c r="E157" s="785"/>
      <c r="F157" s="91">
        <v>0.05</v>
      </c>
      <c r="G157" s="92">
        <f>CENIK_št_1!K54</f>
        <v>33.810121642320418</v>
      </c>
      <c r="H157" s="90"/>
      <c r="I157" s="90"/>
      <c r="J157" s="93">
        <f>F157*G157</f>
        <v>1.6905060821160209</v>
      </c>
    </row>
    <row r="158" spans="2:10" ht="15" customHeight="1" x14ac:dyDescent="0.25">
      <c r="B158" s="822"/>
      <c r="C158" s="854"/>
      <c r="D158" s="758" t="s">
        <v>180</v>
      </c>
      <c r="E158" s="759"/>
      <c r="F158" s="27"/>
      <c r="G158" s="58"/>
      <c r="H158" s="27"/>
      <c r="I158" s="27"/>
      <c r="J158" s="29"/>
    </row>
    <row r="159" spans="2:10" ht="15" customHeight="1" thickBot="1" x14ac:dyDescent="0.3">
      <c r="B159" s="60"/>
      <c r="C159" s="61"/>
      <c r="D159" s="860" t="s">
        <v>194</v>
      </c>
      <c r="E159" s="861"/>
      <c r="F159" s="27"/>
      <c r="G159" s="28"/>
      <c r="H159" s="27">
        <v>1</v>
      </c>
      <c r="I159" s="27">
        <v>0.05</v>
      </c>
      <c r="J159" s="29">
        <f>H159*I159</f>
        <v>0.05</v>
      </c>
    </row>
    <row r="160" spans="2:10" ht="15.75" thickBot="1" x14ac:dyDescent="0.3">
      <c r="B160" s="772"/>
      <c r="C160" s="773"/>
      <c r="D160" s="754" t="s">
        <v>199</v>
      </c>
      <c r="E160" s="774"/>
      <c r="F160" s="26"/>
      <c r="G160" s="66"/>
      <c r="H160" s="26"/>
      <c r="I160" s="26">
        <v>1</v>
      </c>
      <c r="J160" s="56">
        <f>SUM(J154:J159)</f>
        <v>4.3406588570897373</v>
      </c>
    </row>
    <row r="162" spans="2:10" ht="15.75" thickBot="1" x14ac:dyDescent="0.3">
      <c r="B162" s="63"/>
      <c r="C162" s="63"/>
      <c r="D162" s="63"/>
      <c r="E162" s="63"/>
      <c r="F162" s="63"/>
      <c r="G162" s="63"/>
      <c r="H162" s="63"/>
      <c r="I162" s="63"/>
      <c r="J162" s="63"/>
    </row>
    <row r="163" spans="2:10" ht="15.75" thickTop="1" x14ac:dyDescent="0.25"/>
    <row r="164" spans="2:10" ht="15.75" thickBot="1" x14ac:dyDescent="0.3"/>
    <row r="165" spans="2:10" ht="15.75" customHeight="1" thickBot="1" x14ac:dyDescent="0.3">
      <c r="B165" s="663" t="s">
        <v>92</v>
      </c>
      <c r="C165" s="665"/>
      <c r="D165" s="663" t="s">
        <v>135</v>
      </c>
      <c r="E165" s="664"/>
      <c r="F165" s="664"/>
      <c r="G165" s="664"/>
      <c r="H165" s="664"/>
      <c r="I165" s="664"/>
      <c r="J165" s="665"/>
    </row>
    <row r="166" spans="2:10" ht="23.25" thickBot="1" x14ac:dyDescent="0.3">
      <c r="B166" s="755" t="s">
        <v>37</v>
      </c>
      <c r="C166" s="786"/>
      <c r="D166" s="800" t="s">
        <v>38</v>
      </c>
      <c r="E166" s="801"/>
      <c r="F166" s="54" t="s">
        <v>177</v>
      </c>
      <c r="G166" s="54" t="s">
        <v>165</v>
      </c>
      <c r="H166" s="54" t="s">
        <v>183</v>
      </c>
      <c r="I166" s="67" t="s">
        <v>197</v>
      </c>
      <c r="J166" s="55" t="s">
        <v>42</v>
      </c>
    </row>
    <row r="167" spans="2:10" ht="41.25" customHeight="1" x14ac:dyDescent="0.25">
      <c r="B167" s="789" t="s">
        <v>93</v>
      </c>
      <c r="C167" s="790"/>
      <c r="D167" s="904" t="s">
        <v>419</v>
      </c>
      <c r="E167" s="905"/>
      <c r="F167" s="82"/>
      <c r="G167" s="82"/>
      <c r="H167" s="82"/>
      <c r="I167" s="82"/>
      <c r="J167" s="83"/>
    </row>
    <row r="168" spans="2:10" ht="15" customHeight="1" x14ac:dyDescent="0.25">
      <c r="B168" s="822"/>
      <c r="C168" s="854"/>
      <c r="D168" s="758" t="s">
        <v>178</v>
      </c>
      <c r="E168" s="759"/>
      <c r="F168" s="27"/>
      <c r="G168" s="58"/>
      <c r="H168" s="27"/>
      <c r="I168" s="27"/>
      <c r="J168" s="29"/>
    </row>
    <row r="169" spans="2:10" ht="25.5" customHeight="1" x14ac:dyDescent="0.25">
      <c r="B169" s="60"/>
      <c r="C169" s="61"/>
      <c r="D169" s="906" t="str">
        <f>CENIK_št_1!B33</f>
        <v>Delovodja, Skupinovodja, Preglednik, Dispečer, Voznik, Strojnik</v>
      </c>
      <c r="E169" s="907"/>
      <c r="F169" s="27">
        <v>0.25</v>
      </c>
      <c r="G169" s="28">
        <f>CENIK_št_1!K33</f>
        <v>21.016080827612811</v>
      </c>
      <c r="H169" s="27"/>
      <c r="I169" s="27"/>
      <c r="J169" s="29">
        <f>F169*G169</f>
        <v>5.2540202069032027</v>
      </c>
    </row>
    <row r="170" spans="2:10" ht="15" customHeight="1" x14ac:dyDescent="0.25">
      <c r="B170" s="60"/>
      <c r="C170" s="61"/>
      <c r="D170" s="392"/>
      <c r="E170" s="395" t="s">
        <v>340</v>
      </c>
      <c r="F170" s="27">
        <v>2</v>
      </c>
      <c r="G170" s="28">
        <f>CENIK_št_1!K32</f>
        <v>20.747507542833958</v>
      </c>
      <c r="H170" s="27"/>
      <c r="I170" s="27"/>
      <c r="J170" s="29">
        <f>F170*G170</f>
        <v>41.495015085667916</v>
      </c>
    </row>
    <row r="171" spans="2:10" ht="15" customHeight="1" x14ac:dyDescent="0.25">
      <c r="B171" s="64"/>
      <c r="C171" s="65"/>
      <c r="D171" s="780" t="s">
        <v>179</v>
      </c>
      <c r="E171" s="781"/>
      <c r="F171" s="31"/>
      <c r="G171" s="80"/>
      <c r="H171" s="31"/>
      <c r="I171" s="31"/>
      <c r="J171" s="79"/>
    </row>
    <row r="172" spans="2:10" ht="15" customHeight="1" x14ac:dyDescent="0.25">
      <c r="B172" s="64"/>
      <c r="C172" s="65"/>
      <c r="D172" s="396"/>
      <c r="E172" s="397" t="str">
        <f>CENIK_št_1!B55</f>
        <v>Tovorno vozilo do 15 t sdm</v>
      </c>
      <c r="F172" s="91">
        <v>0.5</v>
      </c>
      <c r="G172" s="92">
        <f>CENIK_št_1!K55</f>
        <v>46.527721642320408</v>
      </c>
      <c r="H172" s="90"/>
      <c r="I172" s="90"/>
      <c r="J172" s="93">
        <f>F172*G172</f>
        <v>23.263860821160204</v>
      </c>
    </row>
    <row r="173" spans="2:10" ht="15" customHeight="1" x14ac:dyDescent="0.25">
      <c r="B173" s="60"/>
      <c r="C173" s="61"/>
      <c r="D173" s="396"/>
      <c r="E173" s="95" t="s">
        <v>397</v>
      </c>
      <c r="F173" s="27">
        <v>0.5</v>
      </c>
      <c r="G173" s="28">
        <v>39.9</v>
      </c>
      <c r="H173" s="27"/>
      <c r="I173" s="378"/>
      <c r="J173" s="29">
        <f>F173*G173</f>
        <v>19.95</v>
      </c>
    </row>
    <row r="174" spans="2:10" ht="18" customHeight="1" thickBot="1" x14ac:dyDescent="0.3">
      <c r="B174" s="60"/>
      <c r="C174" s="61"/>
      <c r="D174" s="780" t="s">
        <v>196</v>
      </c>
      <c r="E174" s="781"/>
      <c r="F174" s="96"/>
      <c r="G174" s="92"/>
      <c r="H174" s="97"/>
      <c r="I174" s="97"/>
      <c r="J174" s="93"/>
    </row>
    <row r="175" spans="2:10" ht="15.75" thickBot="1" x14ac:dyDescent="0.3">
      <c r="B175" s="772"/>
      <c r="C175" s="773"/>
      <c r="D175" s="754" t="s">
        <v>204</v>
      </c>
      <c r="E175" s="774"/>
      <c r="F175" s="26"/>
      <c r="G175" s="66"/>
      <c r="H175" s="26"/>
      <c r="I175" s="26">
        <v>1</v>
      </c>
      <c r="J175" s="56">
        <f>SUM(J169:J174)</f>
        <v>89.962896113731333</v>
      </c>
    </row>
    <row r="176" spans="2:10" ht="15.75" thickBot="1" x14ac:dyDescent="0.3"/>
    <row r="177" spans="2:10" ht="15.75" thickBot="1" x14ac:dyDescent="0.3">
      <c r="B177" s="663" t="s">
        <v>92</v>
      </c>
      <c r="C177" s="665"/>
      <c r="D177" s="663" t="s">
        <v>135</v>
      </c>
      <c r="E177" s="664"/>
      <c r="F177" s="664"/>
      <c r="G177" s="664"/>
      <c r="H177" s="664"/>
      <c r="I177" s="664"/>
      <c r="J177" s="665"/>
    </row>
    <row r="178" spans="2:10" ht="23.25" thickBot="1" x14ac:dyDescent="0.3">
      <c r="B178" s="755" t="s">
        <v>37</v>
      </c>
      <c r="C178" s="786"/>
      <c r="D178" s="800" t="s">
        <v>38</v>
      </c>
      <c r="E178" s="801"/>
      <c r="F178" s="54" t="s">
        <v>177</v>
      </c>
      <c r="G178" s="54" t="s">
        <v>165</v>
      </c>
      <c r="H178" s="54" t="s">
        <v>183</v>
      </c>
      <c r="I178" s="67" t="s">
        <v>197</v>
      </c>
      <c r="J178" s="55" t="s">
        <v>42</v>
      </c>
    </row>
    <row r="179" spans="2:10" ht="37.5" customHeight="1" x14ac:dyDescent="0.25">
      <c r="B179" s="789" t="s">
        <v>94</v>
      </c>
      <c r="C179" s="790"/>
      <c r="D179" s="904" t="s">
        <v>418</v>
      </c>
      <c r="E179" s="905"/>
      <c r="F179" s="82"/>
      <c r="G179" s="82"/>
      <c r="H179" s="82"/>
      <c r="I179" s="82"/>
      <c r="J179" s="83"/>
    </row>
    <row r="180" spans="2:10" x14ac:dyDescent="0.25">
      <c r="B180" s="822"/>
      <c r="C180" s="854"/>
      <c r="D180" s="758" t="s">
        <v>178</v>
      </c>
      <c r="E180" s="759"/>
      <c r="F180" s="27"/>
      <c r="G180" s="58"/>
      <c r="H180" s="27"/>
      <c r="I180" s="27"/>
      <c r="J180" s="29"/>
    </row>
    <row r="181" spans="2:10" ht="27" customHeight="1" x14ac:dyDescent="0.25">
      <c r="B181" s="60"/>
      <c r="C181" s="61"/>
      <c r="D181" s="906" t="s">
        <v>357</v>
      </c>
      <c r="E181" s="907"/>
      <c r="F181" s="27">
        <v>0.25</v>
      </c>
      <c r="G181" s="28">
        <f>CENIK_št_1!K33</f>
        <v>21.016080827612811</v>
      </c>
      <c r="H181" s="27"/>
      <c r="I181" s="27"/>
      <c r="J181" s="29">
        <f>F181*G181</f>
        <v>5.2540202069032027</v>
      </c>
    </row>
    <row r="182" spans="2:10" ht="16.5" customHeight="1" x14ac:dyDescent="0.25">
      <c r="B182" s="60"/>
      <c r="C182" s="61"/>
      <c r="D182" s="906" t="s">
        <v>340</v>
      </c>
      <c r="E182" s="907"/>
      <c r="F182" s="27">
        <v>2</v>
      </c>
      <c r="G182" s="28">
        <f>CENIK_št_1!K32</f>
        <v>20.747507542833958</v>
      </c>
      <c r="H182" s="27"/>
      <c r="I182" s="27"/>
      <c r="J182" s="29">
        <f>F182*G182</f>
        <v>41.495015085667916</v>
      </c>
    </row>
    <row r="183" spans="2:10" x14ac:dyDescent="0.25">
      <c r="B183" s="64"/>
      <c r="C183" s="65"/>
      <c r="D183" s="780" t="s">
        <v>179</v>
      </c>
      <c r="E183" s="781"/>
      <c r="F183" s="31"/>
      <c r="G183" s="80"/>
      <c r="H183" s="31"/>
      <c r="I183" s="31"/>
      <c r="J183" s="79"/>
    </row>
    <row r="184" spans="2:10" ht="24" customHeight="1" x14ac:dyDescent="0.25">
      <c r="B184" s="64"/>
      <c r="C184" s="65"/>
      <c r="D184" s="919" t="s">
        <v>333</v>
      </c>
      <c r="E184" s="920"/>
      <c r="F184" s="91">
        <v>0.5</v>
      </c>
      <c r="G184" s="92">
        <f>CENIK_št_1!K55</f>
        <v>46.527721642320408</v>
      </c>
      <c r="H184" s="90"/>
      <c r="I184" s="90"/>
      <c r="J184" s="93">
        <f>F184*G184</f>
        <v>23.263860821160204</v>
      </c>
    </row>
    <row r="185" spans="2:10" ht="15.75" thickBot="1" x14ac:dyDescent="0.3">
      <c r="B185" s="84"/>
      <c r="C185" s="85"/>
      <c r="D185" s="86"/>
      <c r="E185" s="87"/>
      <c r="F185" s="88"/>
      <c r="G185" s="81"/>
      <c r="H185" s="88"/>
      <c r="I185" s="88"/>
      <c r="J185" s="89"/>
    </row>
    <row r="186" spans="2:10" ht="15.75" thickBot="1" x14ac:dyDescent="0.3">
      <c r="B186" s="772"/>
      <c r="C186" s="773"/>
      <c r="D186" s="754" t="s">
        <v>204</v>
      </c>
      <c r="E186" s="774"/>
      <c r="F186" s="26"/>
      <c r="G186" s="66"/>
      <c r="H186" s="26"/>
      <c r="I186" s="26">
        <v>1</v>
      </c>
      <c r="J186" s="56">
        <f>SUM(J181:J185)</f>
        <v>70.01289611373133</v>
      </c>
    </row>
    <row r="187" spans="2:10" ht="15.75" thickBot="1" x14ac:dyDescent="0.3"/>
    <row r="188" spans="2:10" ht="15.75" thickBot="1" x14ac:dyDescent="0.3">
      <c r="B188" s="663" t="s">
        <v>92</v>
      </c>
      <c r="C188" s="665"/>
      <c r="D188" s="663" t="s">
        <v>135</v>
      </c>
      <c r="E188" s="664"/>
      <c r="F188" s="664"/>
      <c r="G188" s="664"/>
      <c r="H188" s="664"/>
      <c r="I188" s="664"/>
      <c r="J188" s="665"/>
    </row>
    <row r="189" spans="2:10" ht="23.25" thickBot="1" x14ac:dyDescent="0.3">
      <c r="B189" s="755" t="s">
        <v>37</v>
      </c>
      <c r="C189" s="786"/>
      <c r="D189" s="800" t="s">
        <v>38</v>
      </c>
      <c r="E189" s="801"/>
      <c r="F189" s="54" t="s">
        <v>177</v>
      </c>
      <c r="G189" s="54" t="s">
        <v>165</v>
      </c>
      <c r="H189" s="54" t="s">
        <v>183</v>
      </c>
      <c r="I189" s="67" t="s">
        <v>197</v>
      </c>
      <c r="J189" s="55" t="s">
        <v>42</v>
      </c>
    </row>
    <row r="190" spans="2:10" ht="25.5" customHeight="1" x14ac:dyDescent="0.25">
      <c r="B190" s="789" t="s">
        <v>95</v>
      </c>
      <c r="C190" s="790"/>
      <c r="D190" s="904" t="s">
        <v>416</v>
      </c>
      <c r="E190" s="905"/>
      <c r="F190" s="82"/>
      <c r="G190" s="82"/>
      <c r="H190" s="82"/>
      <c r="I190" s="82"/>
      <c r="J190" s="83"/>
    </row>
    <row r="191" spans="2:10" x14ac:dyDescent="0.25">
      <c r="B191" s="822"/>
      <c r="C191" s="854"/>
      <c r="D191" s="758" t="s">
        <v>178</v>
      </c>
      <c r="E191" s="759"/>
      <c r="F191" s="27"/>
      <c r="G191" s="58"/>
      <c r="H191" s="27"/>
      <c r="I191" s="27"/>
      <c r="J191" s="29"/>
    </row>
    <row r="192" spans="2:10" x14ac:dyDescent="0.25">
      <c r="B192" s="60"/>
      <c r="C192" s="61"/>
      <c r="D192" s="906" t="s">
        <v>357</v>
      </c>
      <c r="E192" s="907"/>
      <c r="F192" s="27">
        <v>0.15</v>
      </c>
      <c r="G192" s="28">
        <f>G181</f>
        <v>21.016080827612811</v>
      </c>
      <c r="H192" s="27"/>
      <c r="I192" s="27"/>
      <c r="J192" s="29">
        <f>F192*G192</f>
        <v>3.1524121241419216</v>
      </c>
    </row>
    <row r="193" spans="2:10" x14ac:dyDescent="0.25">
      <c r="B193" s="60"/>
      <c r="C193" s="61"/>
      <c r="D193" s="910" t="s">
        <v>340</v>
      </c>
      <c r="E193" s="911"/>
      <c r="F193" s="27">
        <v>0.75</v>
      </c>
      <c r="G193" s="28">
        <f>G182</f>
        <v>20.747507542833958</v>
      </c>
      <c r="H193" s="27"/>
      <c r="I193" s="27"/>
      <c r="J193" s="29">
        <f>F193*G193</f>
        <v>15.560630657125468</v>
      </c>
    </row>
    <row r="194" spans="2:10" x14ac:dyDescent="0.25">
      <c r="B194" s="64"/>
      <c r="C194" s="65"/>
      <c r="D194" s="780" t="s">
        <v>179</v>
      </c>
      <c r="E194" s="781"/>
      <c r="F194" s="31"/>
      <c r="G194" s="80"/>
      <c r="H194" s="31"/>
      <c r="I194" s="31"/>
      <c r="J194" s="79"/>
    </row>
    <row r="195" spans="2:10" x14ac:dyDescent="0.25">
      <c r="B195" s="64"/>
      <c r="C195" s="65"/>
      <c r="D195" s="868" t="str">
        <f>CENIK_št_1!B54</f>
        <v>Tovorno vozilo do 3,5 t sdm</v>
      </c>
      <c r="E195" s="785"/>
      <c r="F195" s="91">
        <v>0.5</v>
      </c>
      <c r="G195" s="92">
        <f>CENIK_št_1!K54</f>
        <v>33.810121642320418</v>
      </c>
      <c r="H195" s="90"/>
      <c r="I195" s="90"/>
      <c r="J195" s="93">
        <f>F195*G195</f>
        <v>16.905060821160209</v>
      </c>
    </row>
    <row r="196" spans="2:10" ht="15.75" thickBot="1" x14ac:dyDescent="0.3">
      <c r="B196" s="84"/>
      <c r="C196" s="85"/>
      <c r="D196" s="86"/>
      <c r="E196" s="87"/>
      <c r="F196" s="88"/>
      <c r="G196" s="81"/>
      <c r="H196" s="88"/>
      <c r="I196" s="88"/>
      <c r="J196" s="89"/>
    </row>
    <row r="197" spans="2:10" ht="15.75" thickBot="1" x14ac:dyDescent="0.3">
      <c r="B197" s="772"/>
      <c r="C197" s="773"/>
      <c r="D197" s="754" t="s">
        <v>360</v>
      </c>
      <c r="E197" s="774"/>
      <c r="F197" s="26"/>
      <c r="G197" s="66"/>
      <c r="H197" s="26"/>
      <c r="I197" s="26">
        <v>1</v>
      </c>
      <c r="J197" s="56">
        <f>SUM(J192:J196)</f>
        <v>35.618103602427595</v>
      </c>
    </row>
    <row r="198" spans="2:10" ht="15.75" thickBot="1" x14ac:dyDescent="0.3"/>
    <row r="199" spans="2:10" ht="15.75" thickBot="1" x14ac:dyDescent="0.3">
      <c r="B199" s="663" t="s">
        <v>92</v>
      </c>
      <c r="C199" s="665"/>
      <c r="D199" s="663" t="s">
        <v>135</v>
      </c>
      <c r="E199" s="664"/>
      <c r="F199" s="664"/>
      <c r="G199" s="664"/>
      <c r="H199" s="664"/>
      <c r="I199" s="664"/>
      <c r="J199" s="665"/>
    </row>
    <row r="200" spans="2:10" ht="23.25" thickBot="1" x14ac:dyDescent="0.3">
      <c r="B200" s="755" t="s">
        <v>37</v>
      </c>
      <c r="C200" s="786"/>
      <c r="D200" s="800" t="s">
        <v>38</v>
      </c>
      <c r="E200" s="801"/>
      <c r="F200" s="54" t="s">
        <v>177</v>
      </c>
      <c r="G200" s="54" t="s">
        <v>165</v>
      </c>
      <c r="H200" s="54" t="s">
        <v>183</v>
      </c>
      <c r="I200" s="67" t="s">
        <v>197</v>
      </c>
      <c r="J200" s="55" t="s">
        <v>42</v>
      </c>
    </row>
    <row r="201" spans="2:10" ht="37.5" customHeight="1" x14ac:dyDescent="0.25">
      <c r="B201" s="789" t="s">
        <v>96</v>
      </c>
      <c r="C201" s="790"/>
      <c r="D201" s="904" t="s">
        <v>421</v>
      </c>
      <c r="E201" s="905"/>
      <c r="F201" s="82"/>
      <c r="G201" s="82"/>
      <c r="H201" s="82"/>
      <c r="I201" s="82"/>
      <c r="J201" s="83"/>
    </row>
    <row r="202" spans="2:10" x14ac:dyDescent="0.25">
      <c r="B202" s="822"/>
      <c r="C202" s="854"/>
      <c r="D202" s="758" t="s">
        <v>178</v>
      </c>
      <c r="E202" s="759"/>
      <c r="F202" s="27"/>
      <c r="G202" s="58"/>
      <c r="H202" s="27"/>
      <c r="I202" s="27"/>
      <c r="J202" s="29"/>
    </row>
    <row r="203" spans="2:10" x14ac:dyDescent="0.25">
      <c r="B203" s="60"/>
      <c r="C203" s="61"/>
      <c r="D203" s="906" t="s">
        <v>357</v>
      </c>
      <c r="E203" s="907"/>
      <c r="F203" s="27">
        <v>2</v>
      </c>
      <c r="G203" s="28">
        <f>G192</f>
        <v>21.016080827612811</v>
      </c>
      <c r="H203" s="27"/>
      <c r="I203" s="27"/>
      <c r="J203" s="29">
        <f>F203*G203</f>
        <v>42.032161655225622</v>
      </c>
    </row>
    <row r="204" spans="2:10" x14ac:dyDescent="0.25">
      <c r="B204" s="60"/>
      <c r="C204" s="61"/>
      <c r="D204" s="910" t="s">
        <v>340</v>
      </c>
      <c r="E204" s="911"/>
      <c r="F204" s="27">
        <v>10</v>
      </c>
      <c r="G204" s="28">
        <f>G193</f>
        <v>20.747507542833958</v>
      </c>
      <c r="H204" s="27"/>
      <c r="I204" s="27"/>
      <c r="J204" s="29">
        <f>F204*G204</f>
        <v>207.47507542833958</v>
      </c>
    </row>
    <row r="205" spans="2:10" x14ac:dyDescent="0.25">
      <c r="B205" s="64"/>
      <c r="C205" s="65"/>
      <c r="D205" s="780" t="s">
        <v>179</v>
      </c>
      <c r="E205" s="781"/>
      <c r="F205" s="31"/>
      <c r="G205" s="80"/>
      <c r="H205" s="31"/>
      <c r="I205" s="31"/>
      <c r="J205" s="79"/>
    </row>
    <row r="206" spans="2:10" x14ac:dyDescent="0.25">
      <c r="B206" s="64"/>
      <c r="C206" s="65"/>
      <c r="D206" s="868" t="s">
        <v>13</v>
      </c>
      <c r="E206" s="785"/>
      <c r="F206" s="91">
        <v>3</v>
      </c>
      <c r="G206" s="92">
        <f>CENIK_št_1!K54</f>
        <v>33.810121642320418</v>
      </c>
      <c r="H206" s="90"/>
      <c r="I206" s="90"/>
      <c r="J206" s="93">
        <f>F206*G206</f>
        <v>101.43036492696126</v>
      </c>
    </row>
    <row r="207" spans="2:10" x14ac:dyDescent="0.25">
      <c r="B207" s="64"/>
      <c r="C207" s="65"/>
      <c r="D207" s="94"/>
      <c r="E207" s="400" t="s">
        <v>422</v>
      </c>
      <c r="F207" s="91"/>
      <c r="G207" s="92"/>
      <c r="H207" s="90"/>
      <c r="I207" s="90"/>
      <c r="J207" s="103"/>
    </row>
    <row r="208" spans="2:10" ht="15.75" thickBot="1" x14ac:dyDescent="0.3">
      <c r="B208" s="84"/>
      <c r="C208" s="85"/>
      <c r="D208" s="86"/>
      <c r="E208" s="399" t="str">
        <f>CENIK_št_1!B116</f>
        <v>Vibracijska igla za beton</v>
      </c>
      <c r="F208" s="88">
        <v>5</v>
      </c>
      <c r="G208" s="81">
        <f>CENIK_št_1!K116</f>
        <v>15.116849999999999</v>
      </c>
      <c r="H208" s="88"/>
      <c r="I208" s="88"/>
      <c r="J208" s="89">
        <f>F208*G208</f>
        <v>75.584249999999997</v>
      </c>
    </row>
    <row r="209" spans="2:10" ht="15.75" thickBot="1" x14ac:dyDescent="0.3">
      <c r="B209" s="772"/>
      <c r="C209" s="773"/>
      <c r="D209" s="754" t="s">
        <v>200</v>
      </c>
      <c r="E209" s="774"/>
      <c r="F209" s="26">
        <v>6</v>
      </c>
      <c r="G209" s="66"/>
      <c r="H209" s="26"/>
      <c r="I209" s="26">
        <v>1</v>
      </c>
      <c r="J209" s="56">
        <f>SUM(J203:J208)/F209</f>
        <v>71.086975335087743</v>
      </c>
    </row>
    <row r="210" spans="2:10" x14ac:dyDescent="0.25">
      <c r="B210" s="199"/>
      <c r="C210" s="199"/>
      <c r="D210" s="200"/>
      <c r="E210" s="200"/>
      <c r="F210" s="201"/>
      <c r="G210" s="202"/>
      <c r="H210" s="201"/>
      <c r="I210" s="201"/>
      <c r="J210" s="203"/>
    </row>
    <row r="211" spans="2:10" ht="15.75" thickBot="1" x14ac:dyDescent="0.3">
      <c r="B211" s="63"/>
      <c r="C211" s="63"/>
      <c r="D211" s="63"/>
      <c r="E211" s="63"/>
      <c r="F211" s="63"/>
      <c r="G211" s="63"/>
      <c r="H211" s="63"/>
      <c r="I211" s="63"/>
      <c r="J211" s="63"/>
    </row>
    <row r="212" spans="2:10" ht="15.75" thickTop="1" x14ac:dyDescent="0.25"/>
    <row r="213" spans="2:10" ht="15.75" thickBot="1" x14ac:dyDescent="0.3"/>
    <row r="214" spans="2:10" ht="15.75" thickBot="1" x14ac:dyDescent="0.3">
      <c r="B214" s="663" t="s">
        <v>137</v>
      </c>
      <c r="C214" s="665"/>
      <c r="D214" s="663" t="s">
        <v>136</v>
      </c>
      <c r="E214" s="664"/>
      <c r="F214" s="664"/>
      <c r="G214" s="664"/>
      <c r="H214" s="664"/>
      <c r="I214" s="664"/>
      <c r="J214" s="665"/>
    </row>
    <row r="215" spans="2:10" ht="23.25" thickBot="1" x14ac:dyDescent="0.3">
      <c r="B215" s="755" t="s">
        <v>37</v>
      </c>
      <c r="C215" s="786"/>
      <c r="D215" s="800" t="s">
        <v>38</v>
      </c>
      <c r="E215" s="801"/>
      <c r="F215" s="54" t="s">
        <v>177</v>
      </c>
      <c r="G215" s="54" t="s">
        <v>165</v>
      </c>
      <c r="H215" s="54" t="s">
        <v>183</v>
      </c>
      <c r="I215" s="67" t="s">
        <v>197</v>
      </c>
      <c r="J215" s="55" t="s">
        <v>42</v>
      </c>
    </row>
    <row r="216" spans="2:10" ht="36" customHeight="1" x14ac:dyDescent="0.25">
      <c r="B216" s="789" t="s">
        <v>139</v>
      </c>
      <c r="C216" s="790"/>
      <c r="D216" s="904" t="s">
        <v>425</v>
      </c>
      <c r="E216" s="905"/>
      <c r="F216" s="82"/>
      <c r="G216" s="82"/>
      <c r="H216" s="82"/>
      <c r="I216" s="82"/>
      <c r="J216" s="83"/>
    </row>
    <row r="217" spans="2:10" x14ac:dyDescent="0.25">
      <c r="B217" s="822"/>
      <c r="C217" s="854"/>
      <c r="D217" s="758" t="s">
        <v>178</v>
      </c>
      <c r="E217" s="759"/>
      <c r="F217" s="27"/>
      <c r="G217" s="58"/>
      <c r="H217" s="27"/>
      <c r="I217" s="27"/>
      <c r="J217" s="29"/>
    </row>
    <row r="218" spans="2:10" x14ac:dyDescent="0.25">
      <c r="B218" s="60"/>
      <c r="C218" s="61"/>
      <c r="D218" s="910" t="str">
        <f>CENIK_št_1!B33</f>
        <v>Delovodja, Skupinovodja, Preglednik, Dispečer, Voznik, Strojnik</v>
      </c>
      <c r="E218" s="885"/>
      <c r="F218" s="27">
        <v>2</v>
      </c>
      <c r="G218" s="28">
        <f>CENIK_št_1!K33</f>
        <v>21.016080827612811</v>
      </c>
      <c r="H218" s="27"/>
      <c r="I218" s="27"/>
      <c r="J218" s="29">
        <f>F218*G218</f>
        <v>42.032161655225622</v>
      </c>
    </row>
    <row r="219" spans="2:10" x14ac:dyDescent="0.25">
      <c r="B219" s="60"/>
      <c r="C219" s="61"/>
      <c r="D219" s="371"/>
      <c r="E219" s="401" t="str">
        <f>CENIK_št_1!B32</f>
        <v xml:space="preserve">Komunalni delavec </v>
      </c>
      <c r="F219" s="27">
        <v>5</v>
      </c>
      <c r="G219" s="28">
        <f>CENIK_št_1!K32</f>
        <v>20.747507542833958</v>
      </c>
      <c r="H219" s="27"/>
      <c r="I219" s="27"/>
      <c r="J219" s="79">
        <f>F219*G219</f>
        <v>103.73753771416979</v>
      </c>
    </row>
    <row r="220" spans="2:10" x14ac:dyDescent="0.25">
      <c r="B220" s="64"/>
      <c r="C220" s="65"/>
      <c r="D220" s="780" t="s">
        <v>179</v>
      </c>
      <c r="E220" s="781"/>
      <c r="F220" s="31"/>
      <c r="G220" s="80"/>
      <c r="H220" s="31"/>
      <c r="I220" s="31"/>
      <c r="J220" s="79"/>
    </row>
    <row r="221" spans="2:10" x14ac:dyDescent="0.25">
      <c r="B221" s="64"/>
      <c r="C221" s="65"/>
      <c r="D221" s="868" t="str">
        <f>CENIK_št_1!B55</f>
        <v>Tovorno vozilo do 15 t sdm</v>
      </c>
      <c r="E221" s="785"/>
      <c r="F221" s="91">
        <v>2.5</v>
      </c>
      <c r="G221" s="92">
        <f>CENIK_št_1!K55</f>
        <v>46.527721642320408</v>
      </c>
      <c r="H221" s="90"/>
      <c r="I221" s="90"/>
      <c r="J221" s="93">
        <f>F221*G221</f>
        <v>116.31930410580102</v>
      </c>
    </row>
    <row r="222" spans="2:10" x14ac:dyDescent="0.25">
      <c r="B222" s="60"/>
      <c r="C222" s="61"/>
      <c r="D222" s="94"/>
      <c r="E222" s="95" t="str">
        <f>CENIK_št_1!B77</f>
        <v>Vibracijski valjar 1,5 t</v>
      </c>
      <c r="F222" s="96">
        <v>1.5</v>
      </c>
      <c r="G222" s="92">
        <f>CENIK_št_1!K77</f>
        <v>35.062596642320408</v>
      </c>
      <c r="H222" s="97"/>
      <c r="I222" s="97"/>
      <c r="J222" s="93">
        <f>F222*G222</f>
        <v>52.593894963480608</v>
      </c>
    </row>
    <row r="223" spans="2:10" ht="22.5" customHeight="1" x14ac:dyDescent="0.25">
      <c r="B223" s="60"/>
      <c r="C223" s="61"/>
      <c r="D223" s="402"/>
      <c r="E223" s="403" t="str">
        <f>CENIK_št_1!B54</f>
        <v>Tovorno vozilo do 3,5 t sdm</v>
      </c>
      <c r="F223" s="96">
        <v>2.5</v>
      </c>
      <c r="G223" s="92">
        <f>CENIK_št_1!K54</f>
        <v>33.810121642320418</v>
      </c>
      <c r="H223" s="97"/>
      <c r="I223" s="97"/>
      <c r="J223" s="93">
        <f>F223*G223</f>
        <v>84.525304105801041</v>
      </c>
    </row>
    <row r="224" spans="2:10" ht="22.5" customHeight="1" thickBot="1" x14ac:dyDescent="0.3">
      <c r="B224" s="372"/>
      <c r="C224" s="373"/>
      <c r="D224" s="914" t="str">
        <f>CENIK_št_1!B103</f>
        <v>Tovorna prikolica do 3,5 t sdm</v>
      </c>
      <c r="E224" s="915"/>
      <c r="F224" s="398">
        <v>2.5</v>
      </c>
      <c r="G224" s="99">
        <f>CENIK_št_1!K103</f>
        <v>7.1250000000000009</v>
      </c>
      <c r="H224" s="100"/>
      <c r="I224" s="100"/>
      <c r="J224" s="101">
        <f>F224*G224</f>
        <v>17.812500000000004</v>
      </c>
    </row>
    <row r="225" spans="2:10" ht="15.75" thickBot="1" x14ac:dyDescent="0.3">
      <c r="B225" s="772"/>
      <c r="C225" s="773"/>
      <c r="D225" s="754" t="s">
        <v>204</v>
      </c>
      <c r="E225" s="774"/>
      <c r="F225" s="26">
        <v>15</v>
      </c>
      <c r="G225" s="66"/>
      <c r="H225" s="26"/>
      <c r="I225" s="26">
        <v>1</v>
      </c>
      <c r="J225" s="56">
        <f>SUM(J218:J224)/F225</f>
        <v>27.801380169631877</v>
      </c>
    </row>
    <row r="226" spans="2:10" ht="15.75" thickBot="1" x14ac:dyDescent="0.3">
      <c r="B226" s="199"/>
      <c r="C226" s="199"/>
      <c r="D226" s="200"/>
      <c r="E226" s="200"/>
      <c r="F226" s="201"/>
      <c r="G226" s="202"/>
      <c r="H226" s="201"/>
      <c r="I226" s="201"/>
      <c r="J226" s="203"/>
    </row>
    <row r="227" spans="2:10" ht="15.75" thickBot="1" x14ac:dyDescent="0.3">
      <c r="B227" s="663" t="s">
        <v>137</v>
      </c>
      <c r="C227" s="665"/>
      <c r="D227" s="663" t="s">
        <v>136</v>
      </c>
      <c r="E227" s="664"/>
      <c r="F227" s="664"/>
      <c r="G227" s="664"/>
      <c r="H227" s="664"/>
      <c r="I227" s="664"/>
      <c r="J227" s="665"/>
    </row>
    <row r="228" spans="2:10" ht="23.25" thickBot="1" x14ac:dyDescent="0.3">
      <c r="B228" s="755" t="s">
        <v>37</v>
      </c>
      <c r="C228" s="786"/>
      <c r="D228" s="800" t="s">
        <v>38</v>
      </c>
      <c r="E228" s="801"/>
      <c r="F228" s="54" t="s">
        <v>177</v>
      </c>
      <c r="G228" s="54" t="s">
        <v>165</v>
      </c>
      <c r="H228" s="54" t="s">
        <v>183</v>
      </c>
      <c r="I228" s="67" t="s">
        <v>197</v>
      </c>
      <c r="J228" s="55" t="s">
        <v>42</v>
      </c>
    </row>
    <row r="229" spans="2:10" ht="32.25" customHeight="1" x14ac:dyDescent="0.25">
      <c r="B229" s="789" t="s">
        <v>140</v>
      </c>
      <c r="C229" s="790"/>
      <c r="D229" s="904" t="s">
        <v>430</v>
      </c>
      <c r="E229" s="905"/>
      <c r="F229" s="82"/>
      <c r="G229" s="82"/>
      <c r="H229" s="82"/>
      <c r="I229" s="82"/>
      <c r="J229" s="83"/>
    </row>
    <row r="230" spans="2:10" x14ac:dyDescent="0.25">
      <c r="B230" s="822"/>
      <c r="C230" s="854"/>
      <c r="D230" s="758" t="s">
        <v>178</v>
      </c>
      <c r="E230" s="759"/>
      <c r="F230" s="27"/>
      <c r="G230" s="58"/>
      <c r="H230" s="27"/>
      <c r="I230" s="27"/>
      <c r="J230" s="29"/>
    </row>
    <row r="231" spans="2:10" ht="27.75" customHeight="1" x14ac:dyDescent="0.25">
      <c r="B231" s="60"/>
      <c r="C231" s="61"/>
      <c r="D231" s="910" t="s">
        <v>357</v>
      </c>
      <c r="E231" s="885"/>
      <c r="F231" s="27">
        <v>3</v>
      </c>
      <c r="G231" s="28">
        <f>CENIK_št_1!K33</f>
        <v>21.016080827612811</v>
      </c>
      <c r="H231" s="27"/>
      <c r="I231" s="27"/>
      <c r="J231" s="29">
        <f>F231*G231</f>
        <v>63.048242482838432</v>
      </c>
    </row>
    <row r="232" spans="2:10" x14ac:dyDescent="0.25">
      <c r="B232" s="60"/>
      <c r="C232" s="61"/>
      <c r="D232" s="394"/>
      <c r="E232" s="401" t="s">
        <v>340</v>
      </c>
      <c r="F232" s="27">
        <v>10</v>
      </c>
      <c r="G232" s="28">
        <f>CENIK_št_1!K32</f>
        <v>20.747507542833958</v>
      </c>
      <c r="H232" s="27"/>
      <c r="I232" s="27"/>
      <c r="J232" s="79">
        <f>F232*G232</f>
        <v>207.47507542833958</v>
      </c>
    </row>
    <row r="233" spans="2:10" x14ac:dyDescent="0.25">
      <c r="B233" s="64"/>
      <c r="C233" s="65"/>
      <c r="D233" s="780" t="s">
        <v>179</v>
      </c>
      <c r="E233" s="781"/>
      <c r="F233" s="31"/>
      <c r="G233" s="80"/>
      <c r="H233" s="31"/>
      <c r="I233" s="31"/>
      <c r="J233" s="79"/>
    </row>
    <row r="234" spans="2:10" x14ac:dyDescent="0.25">
      <c r="B234" s="64"/>
      <c r="C234" s="65"/>
      <c r="D234" s="868" t="str">
        <f>CENIK_št_1!B55</f>
        <v>Tovorno vozilo do 15 t sdm</v>
      </c>
      <c r="E234" s="785"/>
      <c r="F234" s="91">
        <v>4</v>
      </c>
      <c r="G234" s="92">
        <f>CENIK_št_1!K55</f>
        <v>46.527721642320408</v>
      </c>
      <c r="H234" s="90"/>
      <c r="I234" s="90"/>
      <c r="J234" s="93">
        <f>F234*G234</f>
        <v>186.11088656928163</v>
      </c>
    </row>
    <row r="235" spans="2:10" x14ac:dyDescent="0.25">
      <c r="B235" s="60"/>
      <c r="C235" s="61"/>
      <c r="D235" s="94"/>
      <c r="E235" s="95" t="str">
        <f>CENIK_št_1!B77</f>
        <v>Vibracijski valjar 1,5 t</v>
      </c>
      <c r="F235" s="96">
        <v>2.5</v>
      </c>
      <c r="G235" s="92">
        <f>CENIK_št_1!K77</f>
        <v>35.062596642320408</v>
      </c>
      <c r="H235" s="97"/>
      <c r="I235" s="97"/>
      <c r="J235" s="93">
        <f>F235*G235</f>
        <v>87.656491605801023</v>
      </c>
    </row>
    <row r="236" spans="2:10" ht="26.25" x14ac:dyDescent="0.25">
      <c r="B236" s="60"/>
      <c r="C236" s="61"/>
      <c r="D236" s="402"/>
      <c r="E236" s="403" t="str">
        <f>CENIK_št_1!B54</f>
        <v>Tovorno vozilo do 3,5 t sdm</v>
      </c>
      <c r="F236" s="96">
        <v>4</v>
      </c>
      <c r="G236" s="92">
        <f>CENIK_št_1!K54</f>
        <v>33.810121642320418</v>
      </c>
      <c r="H236" s="97"/>
      <c r="I236" s="97"/>
      <c r="J236" s="93">
        <f>F236*G236</f>
        <v>135.24048656928167</v>
      </c>
    </row>
    <row r="237" spans="2:10" ht="15.75" thickBot="1" x14ac:dyDescent="0.3">
      <c r="B237" s="372"/>
      <c r="C237" s="373"/>
      <c r="D237" s="914" t="str">
        <f>CENIK_št_1!B103</f>
        <v>Tovorna prikolica do 3,5 t sdm</v>
      </c>
      <c r="E237" s="915"/>
      <c r="F237" s="398">
        <v>4</v>
      </c>
      <c r="G237" s="99">
        <f>CENIK_št_1!K103</f>
        <v>7.1250000000000009</v>
      </c>
      <c r="H237" s="100"/>
      <c r="I237" s="100"/>
      <c r="J237" s="101">
        <f>F237*G237</f>
        <v>28.500000000000004</v>
      </c>
    </row>
    <row r="238" spans="2:10" ht="15.75" thickBot="1" x14ac:dyDescent="0.3">
      <c r="B238" s="772"/>
      <c r="C238" s="773"/>
      <c r="D238" s="754" t="s">
        <v>204</v>
      </c>
      <c r="E238" s="774"/>
      <c r="F238" s="26">
        <v>30</v>
      </c>
      <c r="G238" s="66"/>
      <c r="H238" s="26"/>
      <c r="I238" s="26">
        <v>1</v>
      </c>
      <c r="J238" s="56">
        <f>SUM(J231:J237)/F238</f>
        <v>23.601039421851407</v>
      </c>
    </row>
    <row r="239" spans="2:10" ht="15.75" thickBot="1" x14ac:dyDescent="0.3">
      <c r="B239" s="199"/>
      <c r="C239" s="199"/>
      <c r="D239" s="200"/>
      <c r="E239" s="200"/>
      <c r="F239" s="201"/>
      <c r="G239" s="202"/>
      <c r="H239" s="201"/>
      <c r="I239" s="201"/>
      <c r="J239" s="203"/>
    </row>
    <row r="240" spans="2:10" ht="15.75" thickBot="1" x14ac:dyDescent="0.3">
      <c r="B240" s="663" t="s">
        <v>137</v>
      </c>
      <c r="C240" s="665"/>
      <c r="D240" s="663" t="s">
        <v>136</v>
      </c>
      <c r="E240" s="664"/>
      <c r="F240" s="664"/>
      <c r="G240" s="664"/>
      <c r="H240" s="664"/>
      <c r="I240" s="664"/>
      <c r="J240" s="665"/>
    </row>
    <row r="241" spans="2:10" ht="23.25" thickBot="1" x14ac:dyDescent="0.3">
      <c r="B241" s="755" t="s">
        <v>37</v>
      </c>
      <c r="C241" s="786"/>
      <c r="D241" s="800" t="s">
        <v>38</v>
      </c>
      <c r="E241" s="801"/>
      <c r="F241" s="54" t="s">
        <v>177</v>
      </c>
      <c r="G241" s="54" t="s">
        <v>165</v>
      </c>
      <c r="H241" s="54" t="s">
        <v>183</v>
      </c>
      <c r="I241" s="67" t="s">
        <v>197</v>
      </c>
      <c r="J241" s="55" t="s">
        <v>42</v>
      </c>
    </row>
    <row r="242" spans="2:10" ht="33.75" customHeight="1" x14ac:dyDescent="0.25">
      <c r="B242" s="789" t="s">
        <v>141</v>
      </c>
      <c r="C242" s="790"/>
      <c r="D242" s="904" t="s">
        <v>428</v>
      </c>
      <c r="E242" s="905"/>
      <c r="F242" s="82"/>
      <c r="G242" s="82"/>
      <c r="H242" s="82"/>
      <c r="I242" s="82"/>
      <c r="J242" s="83"/>
    </row>
    <row r="243" spans="2:10" x14ac:dyDescent="0.25">
      <c r="B243" s="822"/>
      <c r="C243" s="854"/>
      <c r="D243" s="758" t="s">
        <v>178</v>
      </c>
      <c r="E243" s="759"/>
      <c r="F243" s="27"/>
      <c r="G243" s="58"/>
      <c r="H243" s="27"/>
      <c r="I243" s="27"/>
      <c r="J243" s="29"/>
    </row>
    <row r="244" spans="2:10" ht="33" customHeight="1" x14ac:dyDescent="0.25">
      <c r="B244" s="60"/>
      <c r="C244" s="61"/>
      <c r="D244" s="910" t="s">
        <v>357</v>
      </c>
      <c r="E244" s="885"/>
      <c r="F244" s="27">
        <v>5</v>
      </c>
      <c r="G244" s="28">
        <f>CENIK_št_1!K33</f>
        <v>21.016080827612811</v>
      </c>
      <c r="H244" s="27"/>
      <c r="I244" s="27"/>
      <c r="J244" s="29">
        <f>F244*G244</f>
        <v>105.08040413806405</v>
      </c>
    </row>
    <row r="245" spans="2:10" x14ac:dyDescent="0.25">
      <c r="B245" s="60"/>
      <c r="C245" s="61"/>
      <c r="D245" s="394"/>
      <c r="E245" s="401" t="s">
        <v>340</v>
      </c>
      <c r="F245" s="27">
        <v>14</v>
      </c>
      <c r="G245" s="28">
        <f>CENIK_št_1!K32</f>
        <v>20.747507542833958</v>
      </c>
      <c r="H245" s="27"/>
      <c r="I245" s="27"/>
      <c r="J245" s="79">
        <f>F245*G245</f>
        <v>290.46510559967544</v>
      </c>
    </row>
    <row r="246" spans="2:10" x14ac:dyDescent="0.25">
      <c r="B246" s="64"/>
      <c r="C246" s="65"/>
      <c r="D246" s="780" t="s">
        <v>179</v>
      </c>
      <c r="E246" s="781"/>
      <c r="F246" s="31"/>
      <c r="G246" s="80"/>
      <c r="H246" s="31"/>
      <c r="I246" s="31"/>
      <c r="J246" s="79"/>
    </row>
    <row r="247" spans="2:10" x14ac:dyDescent="0.25">
      <c r="B247" s="64"/>
      <c r="C247" s="65"/>
      <c r="D247" s="868" t="str">
        <f>CENIK_št_1!B55</f>
        <v>Tovorno vozilo do 15 t sdm</v>
      </c>
      <c r="E247" s="785"/>
      <c r="F247" s="91">
        <v>6</v>
      </c>
      <c r="G247" s="92">
        <f>CENIK_št_1!K55</f>
        <v>46.527721642320408</v>
      </c>
      <c r="H247" s="90"/>
      <c r="I247" s="90"/>
      <c r="J247" s="93">
        <f>F247*G247</f>
        <v>279.16632985392243</v>
      </c>
    </row>
    <row r="248" spans="2:10" x14ac:dyDescent="0.25">
      <c r="B248" s="60"/>
      <c r="C248" s="61"/>
      <c r="D248" s="94"/>
      <c r="E248" s="95" t="str">
        <f>CENIK_št_1!B77</f>
        <v>Vibracijski valjar 1,5 t</v>
      </c>
      <c r="F248" s="96">
        <v>5</v>
      </c>
      <c r="G248" s="92">
        <f>CENIK_št_1!K77</f>
        <v>35.062596642320408</v>
      </c>
      <c r="H248" s="97"/>
      <c r="I248" s="97"/>
      <c r="J248" s="93">
        <f>F248*G248</f>
        <v>175.31298321160205</v>
      </c>
    </row>
    <row r="249" spans="2:10" x14ac:dyDescent="0.25">
      <c r="B249" s="60"/>
      <c r="C249" s="61"/>
      <c r="D249" s="94"/>
      <c r="E249" s="95" t="s">
        <v>396</v>
      </c>
      <c r="F249" s="96">
        <v>6</v>
      </c>
      <c r="G249" s="92">
        <v>35</v>
      </c>
      <c r="H249" s="97"/>
      <c r="I249" s="97"/>
      <c r="J249" s="93">
        <f>F249*G249</f>
        <v>210</v>
      </c>
    </row>
    <row r="250" spans="2:10" ht="26.25" x14ac:dyDescent="0.25">
      <c r="B250" s="60"/>
      <c r="C250" s="61"/>
      <c r="D250" s="402"/>
      <c r="E250" s="403" t="str">
        <f>CENIK_št_1!B54</f>
        <v>Tovorno vozilo do 3,5 t sdm</v>
      </c>
      <c r="F250" s="96">
        <v>6</v>
      </c>
      <c r="G250" s="92">
        <f>G236</f>
        <v>33.810121642320418</v>
      </c>
      <c r="H250" s="97"/>
      <c r="I250" s="97"/>
      <c r="J250" s="93">
        <f>F250*G250</f>
        <v>202.86072985392252</v>
      </c>
    </row>
    <row r="251" spans="2:10" ht="15.75" thickBot="1" x14ac:dyDescent="0.3">
      <c r="B251" s="372"/>
      <c r="C251" s="373"/>
      <c r="D251" s="914" t="str">
        <f>CENIK_št_1!B103</f>
        <v>Tovorna prikolica do 3,5 t sdm</v>
      </c>
      <c r="E251" s="915"/>
      <c r="F251" s="398">
        <v>6</v>
      </c>
      <c r="G251" s="99">
        <f>CENIK_št_1!K103</f>
        <v>7.1250000000000009</v>
      </c>
      <c r="H251" s="100"/>
      <c r="I251" s="100"/>
      <c r="J251" s="101">
        <f>F251*G251</f>
        <v>42.750000000000007</v>
      </c>
    </row>
    <row r="252" spans="2:10" ht="15.75" thickBot="1" x14ac:dyDescent="0.3">
      <c r="B252" s="772"/>
      <c r="C252" s="773"/>
      <c r="D252" s="754" t="s">
        <v>204</v>
      </c>
      <c r="E252" s="774"/>
      <c r="F252" s="26">
        <v>100</v>
      </c>
      <c r="G252" s="66"/>
      <c r="H252" s="26"/>
      <c r="I252" s="26">
        <v>1</v>
      </c>
      <c r="J252" s="56">
        <f>SUM(J244:J251)/F252</f>
        <v>13.056355526571865</v>
      </c>
    </row>
    <row r="253" spans="2:10" x14ac:dyDescent="0.25">
      <c r="B253" s="199"/>
      <c r="C253" s="199"/>
      <c r="D253" s="200"/>
      <c r="E253" s="200"/>
      <c r="F253" s="201"/>
      <c r="G253" s="202"/>
      <c r="H253" s="201"/>
      <c r="I253" s="201"/>
      <c r="J253" s="203"/>
    </row>
    <row r="254" spans="2:10" ht="15.75" thickBot="1" x14ac:dyDescent="0.3">
      <c r="B254" s="199"/>
      <c r="C254" s="199"/>
      <c r="D254" s="200"/>
      <c r="E254" s="200"/>
      <c r="F254" s="201"/>
      <c r="G254" s="202"/>
      <c r="H254" s="201"/>
      <c r="I254" s="201"/>
      <c r="J254" s="203"/>
    </row>
    <row r="255" spans="2:10" ht="15.75" thickBot="1" x14ac:dyDescent="0.3">
      <c r="B255" s="663" t="s">
        <v>137</v>
      </c>
      <c r="C255" s="665"/>
      <c r="D255" s="663" t="s">
        <v>136</v>
      </c>
      <c r="E255" s="664"/>
      <c r="F255" s="664"/>
      <c r="G255" s="664"/>
      <c r="H255" s="664"/>
      <c r="I255" s="664"/>
      <c r="J255" s="665"/>
    </row>
    <row r="256" spans="2:10" ht="26.25" customHeight="1" thickBot="1" x14ac:dyDescent="0.3">
      <c r="B256" s="755" t="s">
        <v>37</v>
      </c>
      <c r="C256" s="786"/>
      <c r="D256" s="800" t="s">
        <v>38</v>
      </c>
      <c r="E256" s="801"/>
      <c r="F256" s="54" t="s">
        <v>177</v>
      </c>
      <c r="G256" s="54" t="s">
        <v>165</v>
      </c>
      <c r="H256" s="54" t="s">
        <v>183</v>
      </c>
      <c r="I256" s="67" t="s">
        <v>197</v>
      </c>
      <c r="J256" s="55" t="s">
        <v>42</v>
      </c>
    </row>
    <row r="257" spans="2:10" ht="30.75" customHeight="1" x14ac:dyDescent="0.25">
      <c r="B257" s="789" t="s">
        <v>142</v>
      </c>
      <c r="C257" s="790"/>
      <c r="D257" s="904" t="s">
        <v>427</v>
      </c>
      <c r="E257" s="905"/>
      <c r="F257" s="82"/>
      <c r="G257" s="82"/>
      <c r="H257" s="82"/>
      <c r="I257" s="82"/>
      <c r="J257" s="83"/>
    </row>
    <row r="258" spans="2:10" x14ac:dyDescent="0.25">
      <c r="B258" s="822"/>
      <c r="C258" s="854"/>
      <c r="D258" s="758" t="s">
        <v>178</v>
      </c>
      <c r="E258" s="759"/>
      <c r="F258" s="27"/>
      <c r="G258" s="58"/>
      <c r="H258" s="27"/>
      <c r="I258" s="27"/>
      <c r="J258" s="29"/>
    </row>
    <row r="259" spans="2:10" ht="30" customHeight="1" x14ac:dyDescent="0.25">
      <c r="B259" s="60"/>
      <c r="C259" s="61"/>
      <c r="D259" s="910" t="s">
        <v>357</v>
      </c>
      <c r="E259" s="911"/>
      <c r="F259" s="27">
        <v>2</v>
      </c>
      <c r="G259" s="28">
        <f>CENIK_št_1!K33</f>
        <v>21.016080827612811</v>
      </c>
      <c r="H259" s="27"/>
      <c r="I259" s="27"/>
      <c r="J259" s="29">
        <f>F259*G259</f>
        <v>42.032161655225622</v>
      </c>
    </row>
    <row r="260" spans="2:10" x14ac:dyDescent="0.25">
      <c r="B260" s="60"/>
      <c r="C260" s="61"/>
      <c r="D260" s="394"/>
      <c r="E260" s="401" t="s">
        <v>340</v>
      </c>
      <c r="F260" s="27">
        <v>5.5</v>
      </c>
      <c r="G260" s="28">
        <f>CENIK_št_1!K32</f>
        <v>20.747507542833958</v>
      </c>
      <c r="H260" s="27"/>
      <c r="I260" s="27"/>
      <c r="J260" s="79">
        <f>F260*G260</f>
        <v>114.11129148558678</v>
      </c>
    </row>
    <row r="261" spans="2:10" ht="15" customHeight="1" x14ac:dyDescent="0.25">
      <c r="B261" s="64"/>
      <c r="C261" s="65"/>
      <c r="D261" s="780" t="s">
        <v>179</v>
      </c>
      <c r="E261" s="781"/>
      <c r="F261" s="31"/>
      <c r="G261" s="80"/>
      <c r="H261" s="31"/>
      <c r="I261" s="31"/>
      <c r="J261" s="79"/>
    </row>
    <row r="262" spans="2:10" ht="15" customHeight="1" x14ac:dyDescent="0.25">
      <c r="B262" s="64"/>
      <c r="C262" s="65"/>
      <c r="D262" s="868" t="str">
        <f>CENIK_št_1!B55</f>
        <v>Tovorno vozilo do 15 t sdm</v>
      </c>
      <c r="E262" s="785"/>
      <c r="F262" s="91">
        <v>3</v>
      </c>
      <c r="G262" s="92">
        <f>CENIK_št_1!K55</f>
        <v>46.527721642320408</v>
      </c>
      <c r="H262" s="90"/>
      <c r="I262" s="90"/>
      <c r="J262" s="93">
        <f>F262*G262</f>
        <v>139.58316492696122</v>
      </c>
    </row>
    <row r="263" spans="2:10" ht="15" customHeight="1" x14ac:dyDescent="0.25">
      <c r="B263" s="60"/>
      <c r="C263" s="61"/>
      <c r="D263" s="94"/>
      <c r="E263" s="95" t="str">
        <f>E248</f>
        <v>Vibracijski valjar 1,5 t</v>
      </c>
      <c r="F263" s="96">
        <v>2</v>
      </c>
      <c r="G263" s="92">
        <f>G248</f>
        <v>35.062596642320408</v>
      </c>
      <c r="H263" s="97"/>
      <c r="I263" s="97"/>
      <c r="J263" s="93">
        <f>F263*G263</f>
        <v>70.125193284640815</v>
      </c>
    </row>
    <row r="264" spans="2:10" ht="26.25" customHeight="1" x14ac:dyDescent="0.25">
      <c r="B264" s="60"/>
      <c r="C264" s="61"/>
      <c r="D264" s="94"/>
      <c r="E264" s="95" t="str">
        <f>E236</f>
        <v>Tovorno vozilo do 3,5 t sdm</v>
      </c>
      <c r="F264" s="96">
        <v>3</v>
      </c>
      <c r="G264" s="92">
        <f>G236</f>
        <v>33.810121642320418</v>
      </c>
      <c r="H264" s="97"/>
      <c r="I264" s="97"/>
      <c r="J264" s="93">
        <f>F264*G264</f>
        <v>101.43036492696126</v>
      </c>
    </row>
    <row r="265" spans="2:10" ht="26.25" customHeight="1" thickBot="1" x14ac:dyDescent="0.3">
      <c r="B265" s="60"/>
      <c r="C265" s="61"/>
      <c r="D265" s="914" t="str">
        <f>D237</f>
        <v>Tovorna prikolica do 3,5 t sdm</v>
      </c>
      <c r="E265" s="915"/>
      <c r="F265" s="91">
        <v>3</v>
      </c>
      <c r="G265" s="92">
        <f>G224</f>
        <v>7.1250000000000009</v>
      </c>
      <c r="H265" s="97"/>
      <c r="I265" s="97"/>
      <c r="J265" s="93">
        <f>F265*G265</f>
        <v>21.375000000000004</v>
      </c>
    </row>
    <row r="266" spans="2:10" ht="15.75" thickBot="1" x14ac:dyDescent="0.3">
      <c r="B266" s="772"/>
      <c r="C266" s="773"/>
      <c r="D266" s="754" t="s">
        <v>204</v>
      </c>
      <c r="E266" s="774"/>
      <c r="F266" s="26">
        <v>15</v>
      </c>
      <c r="G266" s="66"/>
      <c r="H266" s="26"/>
      <c r="I266" s="26">
        <v>1</v>
      </c>
      <c r="J266" s="56">
        <f>SUM(J259:J265)/F266</f>
        <v>32.577145085291718</v>
      </c>
    </row>
    <row r="267" spans="2:10" ht="15.75" thickBot="1" x14ac:dyDescent="0.3">
      <c r="B267" s="199"/>
      <c r="C267" s="199"/>
      <c r="D267" s="200"/>
      <c r="E267" s="200"/>
      <c r="F267" s="201"/>
      <c r="G267" s="202"/>
      <c r="H267" s="201"/>
      <c r="I267" s="201"/>
      <c r="J267" s="203"/>
    </row>
    <row r="268" spans="2:10" ht="15.75" thickBot="1" x14ac:dyDescent="0.3">
      <c r="B268" s="663" t="s">
        <v>137</v>
      </c>
      <c r="C268" s="665"/>
      <c r="D268" s="663" t="s">
        <v>136</v>
      </c>
      <c r="E268" s="664"/>
      <c r="F268" s="664"/>
      <c r="G268" s="664"/>
      <c r="H268" s="664"/>
      <c r="I268" s="664"/>
      <c r="J268" s="665"/>
    </row>
    <row r="269" spans="2:10" ht="23.25" thickBot="1" x14ac:dyDescent="0.3">
      <c r="B269" s="755" t="s">
        <v>37</v>
      </c>
      <c r="C269" s="786"/>
      <c r="D269" s="800" t="s">
        <v>38</v>
      </c>
      <c r="E269" s="801"/>
      <c r="F269" s="54" t="s">
        <v>177</v>
      </c>
      <c r="G269" s="54" t="s">
        <v>165</v>
      </c>
      <c r="H269" s="54" t="s">
        <v>183</v>
      </c>
      <c r="I269" s="67" t="s">
        <v>197</v>
      </c>
      <c r="J269" s="55" t="s">
        <v>42</v>
      </c>
    </row>
    <row r="270" spans="2:10" ht="33" customHeight="1" x14ac:dyDescent="0.25">
      <c r="B270" s="789" t="s">
        <v>144</v>
      </c>
      <c r="C270" s="790"/>
      <c r="D270" s="904" t="s">
        <v>429</v>
      </c>
      <c r="E270" s="905"/>
      <c r="F270" s="82"/>
      <c r="G270" s="82"/>
      <c r="H270" s="82"/>
      <c r="I270" s="82"/>
      <c r="J270" s="83"/>
    </row>
    <row r="271" spans="2:10" x14ac:dyDescent="0.25">
      <c r="B271" s="822"/>
      <c r="C271" s="854"/>
      <c r="D271" s="758" t="s">
        <v>178</v>
      </c>
      <c r="E271" s="759"/>
      <c r="F271" s="27"/>
      <c r="G271" s="58"/>
      <c r="H271" s="27"/>
      <c r="I271" s="27"/>
      <c r="J271" s="29"/>
    </row>
    <row r="272" spans="2:10" x14ac:dyDescent="0.25">
      <c r="B272" s="60"/>
      <c r="C272" s="61"/>
      <c r="D272" s="910" t="s">
        <v>357</v>
      </c>
      <c r="E272" s="885"/>
      <c r="F272" s="27">
        <v>3.5</v>
      </c>
      <c r="G272" s="28">
        <f>G259</f>
        <v>21.016080827612811</v>
      </c>
      <c r="H272" s="27"/>
      <c r="I272" s="27"/>
      <c r="J272" s="29">
        <f>F272*G272</f>
        <v>73.556282896644831</v>
      </c>
    </row>
    <row r="273" spans="2:10" x14ac:dyDescent="0.25">
      <c r="B273" s="60"/>
      <c r="C273" s="61"/>
      <c r="D273" s="394"/>
      <c r="E273" s="401" t="s">
        <v>340</v>
      </c>
      <c r="F273" s="27">
        <v>11</v>
      </c>
      <c r="G273" s="28">
        <f>G260</f>
        <v>20.747507542833958</v>
      </c>
      <c r="H273" s="27"/>
      <c r="I273" s="27"/>
      <c r="J273" s="79">
        <f>F273*G273</f>
        <v>228.22258297117355</v>
      </c>
    </row>
    <row r="274" spans="2:10" x14ac:dyDescent="0.25">
      <c r="B274" s="64"/>
      <c r="C274" s="65"/>
      <c r="D274" s="780" t="s">
        <v>179</v>
      </c>
      <c r="E274" s="781"/>
      <c r="F274" s="31"/>
      <c r="G274" s="80"/>
      <c r="H274" s="31"/>
      <c r="I274" s="31"/>
      <c r="J274" s="79"/>
    </row>
    <row r="275" spans="2:10" x14ac:dyDescent="0.25">
      <c r="B275" s="64"/>
      <c r="C275" s="65"/>
      <c r="D275" s="868" t="str">
        <f>D262</f>
        <v>Tovorno vozilo do 15 t sdm</v>
      </c>
      <c r="E275" s="785"/>
      <c r="F275" s="91">
        <v>4.5</v>
      </c>
      <c r="G275" s="92">
        <f>G262</f>
        <v>46.527721642320408</v>
      </c>
      <c r="H275" s="90"/>
      <c r="I275" s="90"/>
      <c r="J275" s="93">
        <f>F275*G275</f>
        <v>209.37474739044183</v>
      </c>
    </row>
    <row r="276" spans="2:10" x14ac:dyDescent="0.25">
      <c r="B276" s="60"/>
      <c r="C276" s="61"/>
      <c r="D276" s="94"/>
      <c r="E276" s="95" t="str">
        <f>E263</f>
        <v>Vibracijski valjar 1,5 t</v>
      </c>
      <c r="F276" s="96">
        <f>F263</f>
        <v>2</v>
      </c>
      <c r="G276" s="92">
        <f>G263</f>
        <v>35.062596642320408</v>
      </c>
      <c r="H276" s="97"/>
      <c r="I276" s="97"/>
      <c r="J276" s="93">
        <f>F276*G276</f>
        <v>70.125193284640815</v>
      </c>
    </row>
    <row r="277" spans="2:10" ht="26.25" x14ac:dyDescent="0.25">
      <c r="B277" s="60"/>
      <c r="C277" s="61"/>
      <c r="D277" s="402"/>
      <c r="E277" s="403" t="str">
        <f>E264</f>
        <v>Tovorno vozilo do 3,5 t sdm</v>
      </c>
      <c r="F277" s="96">
        <v>4.5</v>
      </c>
      <c r="G277" s="92">
        <f>G264</f>
        <v>33.810121642320418</v>
      </c>
      <c r="H277" s="97"/>
      <c r="I277" s="97"/>
      <c r="J277" s="93">
        <f>F277*G277</f>
        <v>152.14554739044189</v>
      </c>
    </row>
    <row r="278" spans="2:10" ht="15.75" thickBot="1" x14ac:dyDescent="0.3">
      <c r="B278" s="372"/>
      <c r="C278" s="373"/>
      <c r="D278" s="914" t="str">
        <f>D265</f>
        <v>Tovorna prikolica do 3,5 t sdm</v>
      </c>
      <c r="E278" s="915"/>
      <c r="F278" s="398">
        <v>4.5</v>
      </c>
      <c r="G278" s="99">
        <f>G265</f>
        <v>7.1250000000000009</v>
      </c>
      <c r="H278" s="100"/>
      <c r="I278" s="100"/>
      <c r="J278" s="101">
        <f>F278*G278</f>
        <v>32.062500000000007</v>
      </c>
    </row>
    <row r="279" spans="2:10" ht="15.75" thickBot="1" x14ac:dyDescent="0.3">
      <c r="B279" s="772"/>
      <c r="C279" s="773"/>
      <c r="D279" s="754" t="s">
        <v>204</v>
      </c>
      <c r="E279" s="774"/>
      <c r="F279" s="26">
        <v>30</v>
      </c>
      <c r="G279" s="66"/>
      <c r="H279" s="26"/>
      <c r="I279" s="26">
        <v>1</v>
      </c>
      <c r="J279" s="56">
        <f>SUM(J272:J278)/F279</f>
        <v>25.516228464444762</v>
      </c>
    </row>
    <row r="280" spans="2:10" ht="15.75" thickBot="1" x14ac:dyDescent="0.3">
      <c r="B280" s="199"/>
      <c r="C280" s="199"/>
      <c r="D280" s="200"/>
      <c r="E280" s="200"/>
      <c r="F280" s="201"/>
      <c r="G280" s="202"/>
      <c r="H280" s="201"/>
      <c r="I280" s="201"/>
      <c r="J280" s="203"/>
    </row>
    <row r="281" spans="2:10" ht="15.75" thickBot="1" x14ac:dyDescent="0.3">
      <c r="B281" s="663" t="s">
        <v>137</v>
      </c>
      <c r="C281" s="665"/>
      <c r="D281" s="663" t="s">
        <v>136</v>
      </c>
      <c r="E281" s="664"/>
      <c r="F281" s="664"/>
      <c r="G281" s="664"/>
      <c r="H281" s="664"/>
      <c r="I281" s="664"/>
      <c r="J281" s="665"/>
    </row>
    <row r="282" spans="2:10" ht="23.25" thickBot="1" x14ac:dyDescent="0.3">
      <c r="B282" s="755" t="s">
        <v>37</v>
      </c>
      <c r="C282" s="786"/>
      <c r="D282" s="800" t="s">
        <v>38</v>
      </c>
      <c r="E282" s="801"/>
      <c r="F282" s="54" t="s">
        <v>177</v>
      </c>
      <c r="G282" s="54" t="s">
        <v>165</v>
      </c>
      <c r="H282" s="54" t="s">
        <v>183</v>
      </c>
      <c r="I282" s="67" t="s">
        <v>197</v>
      </c>
      <c r="J282" s="55" t="s">
        <v>42</v>
      </c>
    </row>
    <row r="283" spans="2:10" ht="30" customHeight="1" x14ac:dyDescent="0.25">
      <c r="B283" s="789" t="s">
        <v>145</v>
      </c>
      <c r="C283" s="790"/>
      <c r="D283" s="904" t="s">
        <v>431</v>
      </c>
      <c r="E283" s="905"/>
      <c r="F283" s="82"/>
      <c r="G283" s="82"/>
      <c r="H283" s="82"/>
      <c r="I283" s="82"/>
      <c r="J283" s="83"/>
    </row>
    <row r="284" spans="2:10" x14ac:dyDescent="0.25">
      <c r="B284" s="822"/>
      <c r="C284" s="854"/>
      <c r="D284" s="758" t="s">
        <v>178</v>
      </c>
      <c r="E284" s="759"/>
      <c r="F284" s="27"/>
      <c r="G284" s="58"/>
      <c r="H284" s="27"/>
      <c r="I284" s="27"/>
      <c r="J284" s="29"/>
    </row>
    <row r="285" spans="2:10" x14ac:dyDescent="0.25">
      <c r="B285" s="60"/>
      <c r="C285" s="61"/>
      <c r="D285" s="910" t="s">
        <v>357</v>
      </c>
      <c r="E285" s="885"/>
      <c r="F285" s="27">
        <v>5.5</v>
      </c>
      <c r="G285" s="28">
        <f>G272</f>
        <v>21.016080827612811</v>
      </c>
      <c r="H285" s="27"/>
      <c r="I285" s="27"/>
      <c r="J285" s="29">
        <f>F285*G285</f>
        <v>115.58844455187045</v>
      </c>
    </row>
    <row r="286" spans="2:10" x14ac:dyDescent="0.25">
      <c r="B286" s="60"/>
      <c r="C286" s="61"/>
      <c r="D286" s="394"/>
      <c r="E286" s="401" t="s">
        <v>340</v>
      </c>
      <c r="F286" s="27">
        <v>16</v>
      </c>
      <c r="G286" s="28">
        <f>G273</f>
        <v>20.747507542833958</v>
      </c>
      <c r="H286" s="27"/>
      <c r="I286" s="27"/>
      <c r="J286" s="79">
        <f>F286*G286</f>
        <v>331.96012068534333</v>
      </c>
    </row>
    <row r="287" spans="2:10" x14ac:dyDescent="0.25">
      <c r="B287" s="64"/>
      <c r="C287" s="65"/>
      <c r="D287" s="780" t="s">
        <v>179</v>
      </c>
      <c r="E287" s="781"/>
      <c r="F287" s="31"/>
      <c r="G287" s="80"/>
      <c r="H287" s="31"/>
      <c r="I287" s="31"/>
      <c r="J287" s="79"/>
    </row>
    <row r="288" spans="2:10" x14ac:dyDescent="0.25">
      <c r="B288" s="64"/>
      <c r="C288" s="65"/>
      <c r="D288" s="868" t="str">
        <f>D275</f>
        <v>Tovorno vozilo do 15 t sdm</v>
      </c>
      <c r="E288" s="785"/>
      <c r="F288" s="91">
        <v>7</v>
      </c>
      <c r="G288" s="92">
        <f>G275</f>
        <v>46.527721642320408</v>
      </c>
      <c r="H288" s="90"/>
      <c r="I288" s="90"/>
      <c r="J288" s="93">
        <f>F288*G288</f>
        <v>325.69405149624288</v>
      </c>
    </row>
    <row r="289" spans="1:10" x14ac:dyDescent="0.25">
      <c r="B289" s="60"/>
      <c r="C289" s="61"/>
      <c r="D289" s="94"/>
      <c r="E289" s="95" t="str">
        <f>E248</f>
        <v>Vibracijski valjar 1,5 t</v>
      </c>
      <c r="F289" s="96">
        <v>6</v>
      </c>
      <c r="G289" s="92">
        <f>G248</f>
        <v>35.062596642320408</v>
      </c>
      <c r="H289" s="97"/>
      <c r="I289" s="97"/>
      <c r="J289" s="93">
        <f>F289*G289</f>
        <v>210.37557985392243</v>
      </c>
    </row>
    <row r="290" spans="1:10" x14ac:dyDescent="0.25">
      <c r="B290" s="60"/>
      <c r="C290" s="61"/>
      <c r="D290" s="94"/>
      <c r="E290" s="95" t="s">
        <v>396</v>
      </c>
      <c r="F290" s="96">
        <v>7</v>
      </c>
      <c r="G290" s="92">
        <v>35</v>
      </c>
      <c r="H290" s="97"/>
      <c r="I290" s="97"/>
      <c r="J290" s="93">
        <f>F290*G290</f>
        <v>245</v>
      </c>
    </row>
    <row r="291" spans="1:10" ht="26.25" x14ac:dyDescent="0.25">
      <c r="B291" s="60"/>
      <c r="C291" s="61"/>
      <c r="D291" s="402"/>
      <c r="E291" s="403" t="str">
        <f>E250</f>
        <v>Tovorno vozilo do 3,5 t sdm</v>
      </c>
      <c r="F291" s="96">
        <v>7</v>
      </c>
      <c r="G291" s="92">
        <f>G236</f>
        <v>33.810121642320418</v>
      </c>
      <c r="H291" s="97"/>
      <c r="I291" s="97"/>
      <c r="J291" s="93">
        <f>F291*G291</f>
        <v>236.67085149624293</v>
      </c>
    </row>
    <row r="292" spans="1:10" ht="15.75" thickBot="1" x14ac:dyDescent="0.3">
      <c r="B292" s="372"/>
      <c r="C292" s="373"/>
      <c r="D292" s="914" t="str">
        <f>D278</f>
        <v>Tovorna prikolica do 3,5 t sdm</v>
      </c>
      <c r="E292" s="915"/>
      <c r="F292" s="398">
        <v>7</v>
      </c>
      <c r="G292" s="99">
        <f>G278</f>
        <v>7.1250000000000009</v>
      </c>
      <c r="H292" s="100"/>
      <c r="I292" s="100"/>
      <c r="J292" s="101">
        <f>F292*G292</f>
        <v>49.875000000000007</v>
      </c>
    </row>
    <row r="293" spans="1:10" ht="15.75" thickBot="1" x14ac:dyDescent="0.3">
      <c r="B293" s="772"/>
      <c r="C293" s="773"/>
      <c r="D293" s="754" t="s">
        <v>204</v>
      </c>
      <c r="E293" s="774"/>
      <c r="F293" s="26">
        <v>100</v>
      </c>
      <c r="G293" s="66"/>
      <c r="H293" s="26"/>
      <c r="I293" s="26">
        <v>1</v>
      </c>
      <c r="J293" s="56">
        <f>SUM(J285:J292)/F293</f>
        <v>15.151640480836219</v>
      </c>
    </row>
    <row r="294" spans="1:10" ht="15.75" thickBot="1" x14ac:dyDescent="0.3">
      <c r="B294" s="199"/>
      <c r="C294" s="199"/>
      <c r="D294" s="200"/>
      <c r="E294" s="200"/>
      <c r="F294" s="201"/>
      <c r="G294" s="202"/>
      <c r="H294" s="201"/>
      <c r="I294" s="201"/>
      <c r="J294" s="203"/>
    </row>
    <row r="295" spans="1:10" ht="15.75" thickBot="1" x14ac:dyDescent="0.3">
      <c r="A295" s="225"/>
      <c r="B295" s="663" t="s">
        <v>137</v>
      </c>
      <c r="C295" s="665"/>
      <c r="D295" s="663" t="s">
        <v>136</v>
      </c>
      <c r="E295" s="664"/>
      <c r="F295" s="664"/>
      <c r="G295" s="664"/>
      <c r="H295" s="664"/>
      <c r="I295" s="664"/>
      <c r="J295" s="665"/>
    </row>
    <row r="296" spans="1:10" ht="23.25" thickBot="1" x14ac:dyDescent="0.3">
      <c r="A296" s="225"/>
      <c r="B296" s="755" t="s">
        <v>37</v>
      </c>
      <c r="C296" s="786"/>
      <c r="D296" s="800" t="s">
        <v>38</v>
      </c>
      <c r="E296" s="801"/>
      <c r="F296" s="54" t="s">
        <v>177</v>
      </c>
      <c r="G296" s="54" t="s">
        <v>165</v>
      </c>
      <c r="H296" s="54" t="s">
        <v>183</v>
      </c>
      <c r="I296" s="67" t="s">
        <v>197</v>
      </c>
      <c r="J296" s="55" t="s">
        <v>42</v>
      </c>
    </row>
    <row r="297" spans="1:10" ht="24.75" customHeight="1" x14ac:dyDescent="0.25">
      <c r="A297" s="225"/>
      <c r="B297" s="789" t="s">
        <v>146</v>
      </c>
      <c r="C297" s="790"/>
      <c r="D297" s="904" t="s">
        <v>265</v>
      </c>
      <c r="E297" s="905"/>
      <c r="F297" s="82"/>
      <c r="G297" s="82"/>
      <c r="H297" s="82"/>
      <c r="I297" s="82"/>
      <c r="J297" s="83"/>
    </row>
    <row r="298" spans="1:10" x14ac:dyDescent="0.25">
      <c r="A298" s="225"/>
      <c r="B298" s="822"/>
      <c r="C298" s="854"/>
      <c r="D298" s="758" t="s">
        <v>178</v>
      </c>
      <c r="E298" s="759"/>
      <c r="F298" s="27"/>
      <c r="G298" s="58"/>
      <c r="H298" s="27"/>
      <c r="I298" s="27"/>
      <c r="J298" s="29"/>
    </row>
    <row r="299" spans="1:10" ht="30.75" customHeight="1" x14ac:dyDescent="0.25">
      <c r="A299" s="225"/>
      <c r="B299" s="60"/>
      <c r="C299" s="61"/>
      <c r="D299" s="906" t="str">
        <f>D285</f>
        <v>Delovodja, Skupinovodja, Preglednik, Dispečer, Voznik, Strojnik</v>
      </c>
      <c r="E299" s="907"/>
      <c r="F299" s="27">
        <v>0.5</v>
      </c>
      <c r="G299" s="28">
        <f>G285</f>
        <v>21.016080827612811</v>
      </c>
      <c r="H299" s="27"/>
      <c r="I299" s="27"/>
      <c r="J299" s="29">
        <f>F299*G299</f>
        <v>10.508040413806405</v>
      </c>
    </row>
    <row r="300" spans="1:10" x14ac:dyDescent="0.25">
      <c r="A300" s="225"/>
      <c r="B300" s="64"/>
      <c r="C300" s="65"/>
      <c r="D300" s="780" t="s">
        <v>179</v>
      </c>
      <c r="E300" s="781"/>
      <c r="F300" s="31"/>
      <c r="G300" s="80"/>
      <c r="H300" s="31"/>
      <c r="I300" s="31"/>
      <c r="J300" s="79"/>
    </row>
    <row r="301" spans="1:10" x14ac:dyDescent="0.25">
      <c r="A301" s="225"/>
      <c r="B301" s="64"/>
      <c r="C301" s="65"/>
      <c r="D301" s="868" t="str">
        <f>E291</f>
        <v>Tovorno vozilo do 3,5 t sdm</v>
      </c>
      <c r="E301" s="785"/>
      <c r="F301" s="91">
        <v>0.5</v>
      </c>
      <c r="G301" s="92">
        <v>22.07</v>
      </c>
      <c r="H301" s="90"/>
      <c r="I301" s="90"/>
      <c r="J301" s="93">
        <f>F301*G301</f>
        <v>11.035</v>
      </c>
    </row>
    <row r="302" spans="1:10" ht="15.75" customHeight="1" x14ac:dyDescent="0.25">
      <c r="A302" s="225"/>
      <c r="B302" s="60"/>
      <c r="C302" s="61"/>
      <c r="D302" s="780" t="s">
        <v>432</v>
      </c>
      <c r="E302" s="781"/>
      <c r="F302" s="96"/>
      <c r="G302" s="92"/>
      <c r="H302" s="97"/>
      <c r="I302" s="97"/>
      <c r="J302" s="93"/>
    </row>
    <row r="303" spans="1:10" ht="15.75" thickBot="1" x14ac:dyDescent="0.3">
      <c r="A303" s="225"/>
      <c r="B303" s="60"/>
      <c r="C303" s="61"/>
      <c r="D303" s="94"/>
      <c r="E303" s="95" t="str">
        <f>CENIK_št_1!B120</f>
        <v>Električno udarno kladivo</v>
      </c>
      <c r="F303" s="96">
        <v>0.5</v>
      </c>
      <c r="G303" s="92">
        <f>CENIK_št_1!K120</f>
        <v>11.025</v>
      </c>
      <c r="H303" s="96"/>
      <c r="I303" s="92"/>
      <c r="J303" s="93">
        <f>F303*G303</f>
        <v>5.5125000000000002</v>
      </c>
    </row>
    <row r="304" spans="1:10" ht="15.75" thickBot="1" x14ac:dyDescent="0.3">
      <c r="A304" s="225"/>
      <c r="B304" s="772"/>
      <c r="C304" s="773"/>
      <c r="D304" s="754" t="s">
        <v>204</v>
      </c>
      <c r="E304" s="774"/>
      <c r="F304" s="26"/>
      <c r="G304" s="66"/>
      <c r="H304" s="26"/>
      <c r="I304" s="26">
        <v>1</v>
      </c>
      <c r="J304" s="56">
        <f>SUM(J299:J303)</f>
        <v>27.055540413806405</v>
      </c>
    </row>
    <row r="305" spans="1:10" ht="15.75" thickBot="1" x14ac:dyDescent="0.3">
      <c r="A305" s="225"/>
      <c r="B305" s="441"/>
      <c r="C305" s="441"/>
      <c r="D305" s="442"/>
      <c r="E305" s="442"/>
      <c r="F305" s="443"/>
      <c r="G305" s="444"/>
      <c r="H305" s="443"/>
      <c r="I305" s="443"/>
      <c r="J305" s="445"/>
    </row>
    <row r="306" spans="1:10" ht="15.75" thickBot="1" x14ac:dyDescent="0.3">
      <c r="A306" s="225"/>
      <c r="B306" s="663" t="s">
        <v>137</v>
      </c>
      <c r="C306" s="665"/>
      <c r="D306" s="663" t="s">
        <v>136</v>
      </c>
      <c r="E306" s="664"/>
      <c r="F306" s="664"/>
      <c r="G306" s="664"/>
      <c r="H306" s="664"/>
      <c r="I306" s="664"/>
      <c r="J306" s="665"/>
    </row>
    <row r="307" spans="1:10" ht="23.25" thickBot="1" x14ac:dyDescent="0.3">
      <c r="A307" s="225"/>
      <c r="B307" s="755" t="s">
        <v>37</v>
      </c>
      <c r="C307" s="786"/>
      <c r="D307" s="800" t="s">
        <v>38</v>
      </c>
      <c r="E307" s="801"/>
      <c r="F307" s="54" t="s">
        <v>177</v>
      </c>
      <c r="G307" s="54" t="s">
        <v>165</v>
      </c>
      <c r="H307" s="54" t="s">
        <v>183</v>
      </c>
      <c r="I307" s="67" t="s">
        <v>197</v>
      </c>
      <c r="J307" s="55" t="s">
        <v>42</v>
      </c>
    </row>
    <row r="308" spans="1:10" x14ac:dyDescent="0.25">
      <c r="A308" s="225"/>
      <c r="B308" s="789" t="s">
        <v>492</v>
      </c>
      <c r="C308" s="790"/>
      <c r="D308" s="904" t="s">
        <v>489</v>
      </c>
      <c r="E308" s="905"/>
      <c r="F308" s="82"/>
      <c r="G308" s="82"/>
      <c r="H308" s="82"/>
      <c r="I308" s="82"/>
      <c r="J308" s="83"/>
    </row>
    <row r="309" spans="1:10" x14ac:dyDescent="0.25">
      <c r="A309" s="225"/>
      <c r="B309" s="822"/>
      <c r="C309" s="854"/>
      <c r="D309" s="758" t="s">
        <v>178</v>
      </c>
      <c r="E309" s="759"/>
      <c r="F309" s="27"/>
      <c r="G309" s="58"/>
      <c r="H309" s="27"/>
      <c r="I309" s="27"/>
      <c r="J309" s="29"/>
    </row>
    <row r="310" spans="1:10" ht="34.5" customHeight="1" x14ac:dyDescent="0.25">
      <c r="A310" s="225"/>
      <c r="B310" s="60"/>
      <c r="C310" s="61"/>
      <c r="D310" s="906" t="s">
        <v>357</v>
      </c>
      <c r="E310" s="907"/>
      <c r="F310" s="27">
        <v>0.5</v>
      </c>
      <c r="G310" s="28">
        <f>CENIK_št_1!K33</f>
        <v>21.016080827612811</v>
      </c>
      <c r="H310" s="27"/>
      <c r="I310" s="27"/>
      <c r="J310" s="29">
        <f>F310*G310</f>
        <v>10.508040413806405</v>
      </c>
    </row>
    <row r="311" spans="1:10" ht="15.75" customHeight="1" x14ac:dyDescent="0.25">
      <c r="A311" s="225"/>
      <c r="B311" s="60"/>
      <c r="C311" s="61"/>
      <c r="D311" s="906" t="s">
        <v>340</v>
      </c>
      <c r="E311" s="907"/>
      <c r="F311" s="27">
        <v>1</v>
      </c>
      <c r="G311" s="28">
        <f>CENIK_št_1!K32</f>
        <v>20.747507542833958</v>
      </c>
      <c r="H311" s="27"/>
      <c r="I311" s="27"/>
      <c r="J311" s="79">
        <f>F311*G311</f>
        <v>20.747507542833958</v>
      </c>
    </row>
    <row r="312" spans="1:10" ht="18" customHeight="1" x14ac:dyDescent="0.25">
      <c r="A312" s="225"/>
      <c r="B312" s="64"/>
      <c r="C312" s="65"/>
      <c r="D312" s="780" t="s">
        <v>179</v>
      </c>
      <c r="E312" s="781"/>
      <c r="F312" s="31"/>
      <c r="G312" s="80"/>
      <c r="H312" s="31"/>
      <c r="I312" s="31"/>
      <c r="J312" s="79"/>
    </row>
    <row r="313" spans="1:10" ht="15.75" thickBot="1" x14ac:dyDescent="0.3">
      <c r="A313" s="225"/>
      <c r="B313" s="64"/>
      <c r="C313" s="65"/>
      <c r="D313" s="868" t="str">
        <f>CENIK_št_1!B54</f>
        <v>Tovorno vozilo do 3,5 t sdm</v>
      </c>
      <c r="E313" s="785"/>
      <c r="F313" s="91">
        <v>0.5</v>
      </c>
      <c r="G313" s="92">
        <f>CENIK_št_1!K54</f>
        <v>33.810121642320418</v>
      </c>
      <c r="H313" s="90"/>
      <c r="I313" s="90"/>
      <c r="J313" s="93">
        <f>F313*G313</f>
        <v>16.905060821160209</v>
      </c>
    </row>
    <row r="314" spans="1:10" ht="15.75" thickBot="1" x14ac:dyDescent="0.3">
      <c r="A314" s="225"/>
      <c r="B314" s="772"/>
      <c r="C314" s="773"/>
      <c r="D314" s="754" t="s">
        <v>204</v>
      </c>
      <c r="E314" s="774"/>
      <c r="F314" s="26">
        <v>15</v>
      </c>
      <c r="G314" s="66"/>
      <c r="H314" s="26"/>
      <c r="I314" s="26">
        <v>1</v>
      </c>
      <c r="J314" s="56">
        <f>SUM(J310:J313)/F314</f>
        <v>3.2107072518533717</v>
      </c>
    </row>
    <row r="315" spans="1:10" ht="15.75" thickBot="1" x14ac:dyDescent="0.3">
      <c r="A315" s="225"/>
      <c r="B315" s="441"/>
      <c r="C315" s="441"/>
      <c r="D315" s="442"/>
      <c r="E315" s="442"/>
      <c r="F315" s="443"/>
      <c r="G315" s="444"/>
      <c r="H315" s="443"/>
      <c r="I315" s="443"/>
      <c r="J315" s="445"/>
    </row>
    <row r="316" spans="1:10" ht="15.75" thickBot="1" x14ac:dyDescent="0.3">
      <c r="A316" s="225"/>
      <c r="B316" s="663" t="s">
        <v>137</v>
      </c>
      <c r="C316" s="665"/>
      <c r="D316" s="663" t="s">
        <v>136</v>
      </c>
      <c r="E316" s="664"/>
      <c r="F316" s="664"/>
      <c r="G316" s="664"/>
      <c r="H316" s="664"/>
      <c r="I316" s="664"/>
      <c r="J316" s="665"/>
    </row>
    <row r="317" spans="1:10" ht="23.25" thickBot="1" x14ac:dyDescent="0.3">
      <c r="A317" s="225"/>
      <c r="B317" s="755" t="s">
        <v>37</v>
      </c>
      <c r="C317" s="786"/>
      <c r="D317" s="800" t="s">
        <v>38</v>
      </c>
      <c r="E317" s="801"/>
      <c r="F317" s="54" t="s">
        <v>177</v>
      </c>
      <c r="G317" s="54" t="s">
        <v>165</v>
      </c>
      <c r="H317" s="54" t="s">
        <v>183</v>
      </c>
      <c r="I317" s="67" t="s">
        <v>197</v>
      </c>
      <c r="J317" s="55" t="s">
        <v>42</v>
      </c>
    </row>
    <row r="318" spans="1:10" ht="25.5" customHeight="1" x14ac:dyDescent="0.25">
      <c r="A318" s="225"/>
      <c r="B318" s="789" t="s">
        <v>493</v>
      </c>
      <c r="C318" s="790"/>
      <c r="D318" s="904" t="s">
        <v>490</v>
      </c>
      <c r="E318" s="905"/>
      <c r="F318" s="82"/>
      <c r="G318" s="82"/>
      <c r="H318" s="82"/>
      <c r="I318" s="82"/>
      <c r="J318" s="83"/>
    </row>
    <row r="319" spans="1:10" x14ac:dyDescent="0.25">
      <c r="A319" s="225"/>
      <c r="B319" s="822"/>
      <c r="C319" s="854"/>
      <c r="D319" s="758" t="s">
        <v>178</v>
      </c>
      <c r="E319" s="759"/>
      <c r="F319" s="27"/>
      <c r="G319" s="58"/>
      <c r="H319" s="27"/>
      <c r="I319" s="27"/>
      <c r="J319" s="29"/>
    </row>
    <row r="320" spans="1:10" ht="27.75" customHeight="1" x14ac:dyDescent="0.25">
      <c r="A320" s="225"/>
      <c r="B320" s="60"/>
      <c r="C320" s="61"/>
      <c r="D320" s="906" t="s">
        <v>357</v>
      </c>
      <c r="E320" s="907"/>
      <c r="F320" s="27">
        <v>0.5</v>
      </c>
      <c r="G320" s="28">
        <f>CENIK_št_1!K33</f>
        <v>21.016080827612811</v>
      </c>
      <c r="H320" s="27"/>
      <c r="I320" s="27"/>
      <c r="J320" s="29">
        <f>F320*G320</f>
        <v>10.508040413806405</v>
      </c>
    </row>
    <row r="321" spans="1:10" ht="21" customHeight="1" x14ac:dyDescent="0.25">
      <c r="A321" s="225"/>
      <c r="B321" s="60"/>
      <c r="C321" s="61"/>
      <c r="D321" s="906" t="s">
        <v>340</v>
      </c>
      <c r="E321" s="907"/>
      <c r="F321" s="27">
        <v>2</v>
      </c>
      <c r="G321" s="28">
        <f>CENIK_št_1!K32</f>
        <v>20.747507542833958</v>
      </c>
      <c r="H321" s="27"/>
      <c r="I321" s="27"/>
      <c r="J321" s="79">
        <f>F321*G321</f>
        <v>41.495015085667916</v>
      </c>
    </row>
    <row r="322" spans="1:10" x14ac:dyDescent="0.25">
      <c r="A322" s="225"/>
      <c r="B322" s="64"/>
      <c r="C322" s="65"/>
      <c r="D322" s="780" t="s">
        <v>179</v>
      </c>
      <c r="E322" s="781"/>
      <c r="F322" s="31"/>
      <c r="G322" s="80"/>
      <c r="H322" s="31"/>
      <c r="I322" s="31"/>
      <c r="J322" s="79"/>
    </row>
    <row r="323" spans="1:10" ht="15.75" thickBot="1" x14ac:dyDescent="0.3">
      <c r="A323" s="225"/>
      <c r="B323" s="64"/>
      <c r="C323" s="65"/>
      <c r="D323" s="868" t="s">
        <v>13</v>
      </c>
      <c r="E323" s="785"/>
      <c r="F323" s="91">
        <v>0.5</v>
      </c>
      <c r="G323" s="92">
        <f>CENIK_št_1!K54</f>
        <v>33.810121642320418</v>
      </c>
      <c r="H323" s="90"/>
      <c r="I323" s="90"/>
      <c r="J323" s="93">
        <f>F323*G323</f>
        <v>16.905060821160209</v>
      </c>
    </row>
    <row r="324" spans="1:10" ht="15.75" thickBot="1" x14ac:dyDescent="0.3">
      <c r="A324" s="225"/>
      <c r="B324" s="772"/>
      <c r="C324" s="773"/>
      <c r="D324" s="754" t="s">
        <v>204</v>
      </c>
      <c r="E324" s="774"/>
      <c r="F324" s="26">
        <v>30</v>
      </c>
      <c r="G324" s="66"/>
      <c r="H324" s="26"/>
      <c r="I324" s="26">
        <v>1</v>
      </c>
      <c r="J324" s="56">
        <f>SUM(J320:J323)/F324</f>
        <v>2.2969372106878176</v>
      </c>
    </row>
    <row r="325" spans="1:10" ht="15.75" thickBot="1" x14ac:dyDescent="0.3">
      <c r="A325" s="225"/>
      <c r="B325" s="441"/>
      <c r="C325" s="441"/>
      <c r="D325" s="442"/>
      <c r="E325" s="442"/>
      <c r="F325" s="443"/>
      <c r="G325" s="444"/>
      <c r="H325" s="443"/>
      <c r="I325" s="443"/>
      <c r="J325" s="445"/>
    </row>
    <row r="326" spans="1:10" ht="15.75" thickBot="1" x14ac:dyDescent="0.3">
      <c r="A326" s="225"/>
      <c r="B326" s="663" t="s">
        <v>137</v>
      </c>
      <c r="C326" s="665"/>
      <c r="D326" s="663" t="s">
        <v>136</v>
      </c>
      <c r="E326" s="664"/>
      <c r="F326" s="664"/>
      <c r="G326" s="664"/>
      <c r="H326" s="664"/>
      <c r="I326" s="664"/>
      <c r="J326" s="665"/>
    </row>
    <row r="327" spans="1:10" ht="23.25" thickBot="1" x14ac:dyDescent="0.3">
      <c r="A327" s="225"/>
      <c r="B327" s="755" t="s">
        <v>37</v>
      </c>
      <c r="C327" s="786"/>
      <c r="D327" s="800" t="s">
        <v>38</v>
      </c>
      <c r="E327" s="801"/>
      <c r="F327" s="54" t="s">
        <v>177</v>
      </c>
      <c r="G327" s="54" t="s">
        <v>165</v>
      </c>
      <c r="H327" s="54" t="s">
        <v>183</v>
      </c>
      <c r="I327" s="67" t="s">
        <v>197</v>
      </c>
      <c r="J327" s="55" t="s">
        <v>42</v>
      </c>
    </row>
    <row r="328" spans="1:10" x14ac:dyDescent="0.25">
      <c r="A328" s="225"/>
      <c r="B328" s="789" t="s">
        <v>494</v>
      </c>
      <c r="C328" s="790"/>
      <c r="D328" s="904" t="s">
        <v>491</v>
      </c>
      <c r="E328" s="905"/>
      <c r="F328" s="82"/>
      <c r="G328" s="82"/>
      <c r="H328" s="82"/>
      <c r="I328" s="82"/>
      <c r="J328" s="83"/>
    </row>
    <row r="329" spans="1:10" x14ac:dyDescent="0.25">
      <c r="A329" s="225"/>
      <c r="B329" s="822"/>
      <c r="C329" s="854"/>
      <c r="D329" s="758" t="s">
        <v>178</v>
      </c>
      <c r="E329" s="759"/>
      <c r="F329" s="27"/>
      <c r="G329" s="58"/>
      <c r="H329" s="27"/>
      <c r="I329" s="27"/>
      <c r="J329" s="29"/>
    </row>
    <row r="330" spans="1:10" ht="28.5" customHeight="1" x14ac:dyDescent="0.25">
      <c r="A330" s="225"/>
      <c r="B330" s="60"/>
      <c r="C330" s="61"/>
      <c r="D330" s="906" t="s">
        <v>357</v>
      </c>
      <c r="E330" s="907"/>
      <c r="F330" s="27">
        <v>0.5</v>
      </c>
      <c r="G330" s="28">
        <f>CENIK_št_1!K33</f>
        <v>21.016080827612811</v>
      </c>
      <c r="H330" s="27"/>
      <c r="I330" s="27"/>
      <c r="J330" s="29">
        <f>F330*G330</f>
        <v>10.508040413806405</v>
      </c>
    </row>
    <row r="331" spans="1:10" x14ac:dyDescent="0.25">
      <c r="A331" s="225"/>
      <c r="B331" s="60"/>
      <c r="C331" s="61"/>
      <c r="D331" s="906" t="s">
        <v>340</v>
      </c>
      <c r="E331" s="907"/>
      <c r="F331" s="27">
        <v>2</v>
      </c>
      <c r="G331" s="28">
        <f>CENIK_št_1!K32</f>
        <v>20.747507542833958</v>
      </c>
      <c r="H331" s="27"/>
      <c r="I331" s="27"/>
      <c r="J331" s="79">
        <f>F331*G331</f>
        <v>41.495015085667916</v>
      </c>
    </row>
    <row r="332" spans="1:10" x14ac:dyDescent="0.25">
      <c r="A332" s="225"/>
      <c r="B332" s="64"/>
      <c r="C332" s="65"/>
      <c r="D332" s="780" t="s">
        <v>179</v>
      </c>
      <c r="E332" s="781"/>
      <c r="F332" s="31"/>
      <c r="G332" s="80"/>
      <c r="H332" s="31"/>
      <c r="I332" s="31"/>
      <c r="J332" s="79"/>
    </row>
    <row r="333" spans="1:10" ht="15.75" thickBot="1" x14ac:dyDescent="0.3">
      <c r="A333" s="225"/>
      <c r="B333" s="64"/>
      <c r="C333" s="65"/>
      <c r="D333" s="868" t="s">
        <v>13</v>
      </c>
      <c r="E333" s="785"/>
      <c r="F333" s="91">
        <v>0.5</v>
      </c>
      <c r="G333" s="92">
        <f>CENIK_št_1!K54</f>
        <v>33.810121642320418</v>
      </c>
      <c r="H333" s="90"/>
      <c r="I333" s="90"/>
      <c r="J333" s="93">
        <f>F333*G333</f>
        <v>16.905060821160209</v>
      </c>
    </row>
    <row r="334" spans="1:10" ht="15.75" thickBot="1" x14ac:dyDescent="0.3">
      <c r="A334" s="225"/>
      <c r="B334" s="772"/>
      <c r="C334" s="773"/>
      <c r="D334" s="754" t="s">
        <v>204</v>
      </c>
      <c r="E334" s="774"/>
      <c r="F334" s="26">
        <v>45</v>
      </c>
      <c r="G334" s="66"/>
      <c r="H334" s="26"/>
      <c r="I334" s="26">
        <v>1</v>
      </c>
      <c r="J334" s="56">
        <f>SUM(J330:J333)/F334</f>
        <v>1.5312914737918786</v>
      </c>
    </row>
    <row r="335" spans="1:10" x14ac:dyDescent="0.25">
      <c r="A335" s="225"/>
      <c r="B335" s="199"/>
      <c r="C335" s="199"/>
      <c r="D335" s="200"/>
      <c r="E335" s="200"/>
      <c r="F335" s="201"/>
      <c r="G335" s="202"/>
      <c r="H335" s="201"/>
      <c r="I335" s="201"/>
      <c r="J335" s="203"/>
    </row>
    <row r="336" spans="1:10" ht="15.75" thickBot="1" x14ac:dyDescent="0.3">
      <c r="A336" s="225"/>
      <c r="B336" s="385"/>
      <c r="C336" s="385"/>
      <c r="D336" s="386"/>
      <c r="E336" s="386"/>
      <c r="F336" s="387"/>
      <c r="G336" s="388"/>
      <c r="H336" s="387"/>
      <c r="I336" s="387"/>
      <c r="J336" s="389"/>
    </row>
    <row r="337" spans="2:10" ht="15.75" thickTop="1" x14ac:dyDescent="0.25"/>
    <row r="338" spans="2:10" ht="15.75" thickBot="1" x14ac:dyDescent="0.3"/>
    <row r="339" spans="2:10" ht="15.75" thickBot="1" x14ac:dyDescent="0.3">
      <c r="B339" s="663" t="s">
        <v>147</v>
      </c>
      <c r="C339" s="665"/>
      <c r="D339" s="663" t="s">
        <v>138</v>
      </c>
      <c r="E339" s="664"/>
      <c r="F339" s="664"/>
      <c r="G339" s="664"/>
      <c r="H339" s="664"/>
      <c r="I339" s="664"/>
      <c r="J339" s="665"/>
    </row>
    <row r="340" spans="2:10" ht="23.25" thickBot="1" x14ac:dyDescent="0.3">
      <c r="B340" s="755" t="s">
        <v>37</v>
      </c>
      <c r="C340" s="786"/>
      <c r="D340" s="800" t="s">
        <v>38</v>
      </c>
      <c r="E340" s="801"/>
      <c r="F340" s="54" t="s">
        <v>177</v>
      </c>
      <c r="G340" s="54" t="s">
        <v>165</v>
      </c>
      <c r="H340" s="54" t="s">
        <v>183</v>
      </c>
      <c r="I340" s="67" t="s">
        <v>197</v>
      </c>
      <c r="J340" s="55" t="s">
        <v>42</v>
      </c>
    </row>
    <row r="341" spans="2:10" ht="30" customHeight="1" x14ac:dyDescent="0.25">
      <c r="B341" s="789" t="s">
        <v>155</v>
      </c>
      <c r="C341" s="790"/>
      <c r="D341" s="904" t="s">
        <v>433</v>
      </c>
      <c r="E341" s="905"/>
      <c r="F341" s="82"/>
      <c r="G341" s="82"/>
      <c r="H341" s="82"/>
      <c r="I341" s="82"/>
      <c r="J341" s="83"/>
    </row>
    <row r="342" spans="2:10" x14ac:dyDescent="0.25">
      <c r="B342" s="822"/>
      <c r="C342" s="854"/>
      <c r="D342" s="758" t="s">
        <v>178</v>
      </c>
      <c r="E342" s="759"/>
      <c r="F342" s="27"/>
      <c r="G342" s="58"/>
      <c r="H342" s="27"/>
      <c r="I342" s="27"/>
      <c r="J342" s="29"/>
    </row>
    <row r="343" spans="2:10" ht="38.25" customHeight="1" x14ac:dyDescent="0.25">
      <c r="B343" s="60"/>
      <c r="C343" s="61"/>
      <c r="D343" s="392"/>
      <c r="E343" s="393" t="str">
        <f>CENIK_št_1!B33</f>
        <v>Delovodja, Skupinovodja, Preglednik, Dispečer, Voznik, Strojnik</v>
      </c>
      <c r="F343" s="27">
        <v>2</v>
      </c>
      <c r="G343" s="28">
        <f>G218</f>
        <v>21.016080827612811</v>
      </c>
      <c r="H343" s="27"/>
      <c r="I343" s="27"/>
      <c r="J343" s="29">
        <f>F343*G343</f>
        <v>42.032161655225622</v>
      </c>
    </row>
    <row r="344" spans="2:10" x14ac:dyDescent="0.25">
      <c r="B344" s="64"/>
      <c r="C344" s="65"/>
      <c r="D344" s="868" t="str">
        <f>CENIK_št_1!B54</f>
        <v>Tovorno vozilo do 3,5 t sdm</v>
      </c>
      <c r="E344" s="785"/>
      <c r="F344" s="27">
        <v>0.5</v>
      </c>
      <c r="G344" s="92">
        <f>CENIK_št_1!K54</f>
        <v>33.810121642320418</v>
      </c>
      <c r="H344" s="90"/>
      <c r="I344" s="90"/>
      <c r="J344" s="93">
        <f>F344*G344</f>
        <v>16.905060821160209</v>
      </c>
    </row>
    <row r="345" spans="2:10" x14ac:dyDescent="0.25">
      <c r="B345" s="60"/>
      <c r="C345" s="61"/>
      <c r="D345" s="780" t="s">
        <v>207</v>
      </c>
      <c r="E345" s="781"/>
      <c r="F345" s="96"/>
      <c r="G345" s="92"/>
      <c r="H345" s="97"/>
      <c r="I345" s="97"/>
      <c r="J345" s="93"/>
    </row>
    <row r="346" spans="2:10" ht="24.75" customHeight="1" x14ac:dyDescent="0.25">
      <c r="B346" s="60"/>
      <c r="C346" s="61"/>
      <c r="D346" s="868" t="str">
        <f>CENIK_št_1!B110</f>
        <v>Ročna kosilnica mulčar</v>
      </c>
      <c r="E346" s="785"/>
      <c r="F346" s="27">
        <v>1</v>
      </c>
      <c r="G346" s="92">
        <f>CENIK_št_1!K110</f>
        <v>8.6199750000000002</v>
      </c>
      <c r="H346" s="97"/>
      <c r="I346" s="97"/>
      <c r="J346" s="93">
        <f>F346*G346</f>
        <v>8.6199750000000002</v>
      </c>
    </row>
    <row r="347" spans="2:10" x14ac:dyDescent="0.25">
      <c r="B347" s="60"/>
      <c r="C347" s="61"/>
      <c r="D347" s="929" t="str">
        <f>CENIK_št_1!B111</f>
        <v>Ročna motorna kosa</v>
      </c>
      <c r="E347" s="913"/>
      <c r="F347" s="27">
        <v>0.2</v>
      </c>
      <c r="G347" s="92">
        <f>CENIK_št_1!K111</f>
        <v>7.8266999999999989</v>
      </c>
      <c r="H347" s="97"/>
      <c r="I347" s="97"/>
      <c r="J347" s="93">
        <f>F347*G347</f>
        <v>1.56534</v>
      </c>
    </row>
    <row r="348" spans="2:10" ht="15.75" thickBot="1" x14ac:dyDescent="0.3">
      <c r="B348" s="372"/>
      <c r="C348" s="373"/>
      <c r="D348" s="374"/>
      <c r="E348" s="375" t="str">
        <f>CENIK_št_1!B114</f>
        <v>Pihalnik listja</v>
      </c>
      <c r="F348" s="32">
        <v>0.2</v>
      </c>
      <c r="G348" s="99">
        <f>CENIK_št_1!K114</f>
        <v>9.6815249999999988</v>
      </c>
      <c r="H348" s="100"/>
      <c r="I348" s="100"/>
      <c r="J348" s="93">
        <f>F348*G348</f>
        <v>1.9363049999999999</v>
      </c>
    </row>
    <row r="349" spans="2:10" ht="15.75" thickBot="1" x14ac:dyDescent="0.3">
      <c r="B349" s="772"/>
      <c r="C349" s="773"/>
      <c r="D349" s="754" t="s">
        <v>204</v>
      </c>
      <c r="E349" s="774"/>
      <c r="F349" s="26">
        <v>700</v>
      </c>
      <c r="G349" s="66"/>
      <c r="H349" s="26"/>
      <c r="I349" s="26">
        <v>1</v>
      </c>
      <c r="J349" s="405">
        <f>SUM(J343:J348)/F349</f>
        <v>0.10151263210912262</v>
      </c>
    </row>
    <row r="350" spans="2:10" ht="15.75" thickBot="1" x14ac:dyDescent="0.3"/>
    <row r="351" spans="2:10" ht="15.75" thickBot="1" x14ac:dyDescent="0.3">
      <c r="B351" s="663" t="s">
        <v>147</v>
      </c>
      <c r="C351" s="665"/>
      <c r="D351" s="663" t="s">
        <v>138</v>
      </c>
      <c r="E351" s="664"/>
      <c r="F351" s="664"/>
      <c r="G351" s="664"/>
      <c r="H351" s="664"/>
      <c r="I351" s="664"/>
      <c r="J351" s="665"/>
    </row>
    <row r="352" spans="2:10" ht="23.25" thickBot="1" x14ac:dyDescent="0.3">
      <c r="B352" s="755" t="s">
        <v>37</v>
      </c>
      <c r="C352" s="786"/>
      <c r="D352" s="800" t="s">
        <v>38</v>
      </c>
      <c r="E352" s="801"/>
      <c r="F352" s="54" t="s">
        <v>177</v>
      </c>
      <c r="G352" s="54" t="s">
        <v>165</v>
      </c>
      <c r="H352" s="54" t="s">
        <v>183</v>
      </c>
      <c r="I352" s="67" t="s">
        <v>197</v>
      </c>
      <c r="J352" s="55" t="s">
        <v>42</v>
      </c>
    </row>
    <row r="353" spans="2:10" ht="33" customHeight="1" x14ac:dyDescent="0.25">
      <c r="B353" s="789" t="s">
        <v>156</v>
      </c>
      <c r="C353" s="790"/>
      <c r="D353" s="904" t="s">
        <v>434</v>
      </c>
      <c r="E353" s="905"/>
      <c r="F353" s="82"/>
      <c r="G353" s="82"/>
      <c r="H353" s="82"/>
      <c r="I353" s="82"/>
      <c r="J353" s="83"/>
    </row>
    <row r="354" spans="2:10" x14ac:dyDescent="0.25">
      <c r="B354" s="822"/>
      <c r="C354" s="854"/>
      <c r="D354" s="758" t="s">
        <v>178</v>
      </c>
      <c r="E354" s="759"/>
      <c r="F354" s="27"/>
      <c r="G354" s="58"/>
      <c r="H354" s="27"/>
      <c r="I354" s="27"/>
      <c r="J354" s="29"/>
    </row>
    <row r="355" spans="2:10" ht="38.25" x14ac:dyDescent="0.25">
      <c r="B355" s="60"/>
      <c r="C355" s="61"/>
      <c r="D355" s="392"/>
      <c r="E355" s="393" t="str">
        <f>E343</f>
        <v>Delovodja, Skupinovodja, Preglednik, Dispečer, Voznik, Strojnik</v>
      </c>
      <c r="F355" s="27">
        <v>1</v>
      </c>
      <c r="G355" s="28">
        <f>G343</f>
        <v>21.016080827612811</v>
      </c>
      <c r="H355" s="27"/>
      <c r="I355" s="27"/>
      <c r="J355" s="29">
        <f>F355*G355</f>
        <v>21.016080827612811</v>
      </c>
    </row>
    <row r="356" spans="2:10" x14ac:dyDescent="0.25">
      <c r="B356" s="60"/>
      <c r="C356" s="61"/>
      <c r="D356" s="910" t="s">
        <v>13</v>
      </c>
      <c r="E356" s="911"/>
      <c r="F356" s="27">
        <v>0.1</v>
      </c>
      <c r="G356" s="28">
        <f>G344</f>
        <v>33.810121642320418</v>
      </c>
      <c r="H356" s="27"/>
      <c r="I356" s="27"/>
      <c r="J356" s="29">
        <f>F356*G356</f>
        <v>3.3810121642320419</v>
      </c>
    </row>
    <row r="357" spans="2:10" x14ac:dyDescent="0.25">
      <c r="B357" s="60"/>
      <c r="C357" s="61"/>
      <c r="D357" s="780" t="s">
        <v>207</v>
      </c>
      <c r="E357" s="781"/>
      <c r="F357" s="96"/>
      <c r="G357" s="92"/>
      <c r="H357" s="97"/>
      <c r="I357" s="97"/>
      <c r="J357" s="93"/>
    </row>
    <row r="358" spans="2:10" x14ac:dyDescent="0.25">
      <c r="B358" s="60"/>
      <c r="C358" s="61"/>
      <c r="D358" s="868" t="str">
        <f>CENIK_št_1!B108</f>
        <v>Kosilnica širine 100cm</v>
      </c>
      <c r="E358" s="785"/>
      <c r="F358" s="27">
        <v>1</v>
      </c>
      <c r="G358" s="92">
        <f>CENIK_št_1!K108</f>
        <v>14.994</v>
      </c>
      <c r="H358" s="97"/>
      <c r="I358" s="97"/>
      <c r="J358" s="93">
        <f>F358*G358</f>
        <v>14.994</v>
      </c>
    </row>
    <row r="359" spans="2:10" x14ac:dyDescent="0.25">
      <c r="B359" s="60"/>
      <c r="C359" s="61"/>
      <c r="D359" s="912" t="str">
        <f>D347</f>
        <v>Ročna motorna kosa</v>
      </c>
      <c r="E359" s="913"/>
      <c r="F359" s="27">
        <v>0.1</v>
      </c>
      <c r="G359" s="92">
        <f>G347</f>
        <v>7.8266999999999989</v>
      </c>
      <c r="H359" s="97"/>
      <c r="I359" s="97"/>
      <c r="J359" s="93">
        <f>F359*G359</f>
        <v>0.78266999999999998</v>
      </c>
    </row>
    <row r="360" spans="2:10" ht="15.75" thickBot="1" x14ac:dyDescent="0.3">
      <c r="B360" s="372"/>
      <c r="C360" s="373"/>
      <c r="D360" s="374"/>
      <c r="E360" s="375" t="str">
        <f>E348</f>
        <v>Pihalnik listja</v>
      </c>
      <c r="F360" s="32">
        <v>0.1</v>
      </c>
      <c r="G360" s="99">
        <f>CENIK_št_1!K114</f>
        <v>9.6815249999999988</v>
      </c>
      <c r="H360" s="100"/>
      <c r="I360" s="100"/>
      <c r="J360" s="93">
        <f>F360*G360</f>
        <v>0.96815249999999997</v>
      </c>
    </row>
    <row r="361" spans="2:10" ht="15.75" thickBot="1" x14ac:dyDescent="0.3">
      <c r="B361" s="772"/>
      <c r="C361" s="773"/>
      <c r="D361" s="754" t="s">
        <v>204</v>
      </c>
      <c r="E361" s="774"/>
      <c r="F361" s="26">
        <v>700</v>
      </c>
      <c r="G361" s="66"/>
      <c r="H361" s="26"/>
      <c r="I361" s="26">
        <v>1</v>
      </c>
      <c r="J361" s="405">
        <f>SUM(J355:J360)/F361</f>
        <v>5.8774164988349802E-2</v>
      </c>
    </row>
    <row r="362" spans="2:10" ht="15.75" thickBot="1" x14ac:dyDescent="0.3"/>
    <row r="363" spans="2:10" ht="15.75" thickBot="1" x14ac:dyDescent="0.3">
      <c r="B363" s="663" t="s">
        <v>147</v>
      </c>
      <c r="C363" s="665"/>
      <c r="D363" s="663" t="s">
        <v>138</v>
      </c>
      <c r="E363" s="664"/>
      <c r="F363" s="664"/>
      <c r="G363" s="664"/>
      <c r="H363" s="664"/>
      <c r="I363" s="664"/>
      <c r="J363" s="665"/>
    </row>
    <row r="364" spans="2:10" ht="23.25" thickBot="1" x14ac:dyDescent="0.3">
      <c r="B364" s="755" t="s">
        <v>37</v>
      </c>
      <c r="C364" s="786"/>
      <c r="D364" s="800" t="s">
        <v>38</v>
      </c>
      <c r="E364" s="801"/>
      <c r="F364" s="54" t="s">
        <v>177</v>
      </c>
      <c r="G364" s="54" t="s">
        <v>165</v>
      </c>
      <c r="H364" s="54" t="s">
        <v>183</v>
      </c>
      <c r="I364" s="67" t="s">
        <v>197</v>
      </c>
      <c r="J364" s="55" t="s">
        <v>42</v>
      </c>
    </row>
    <row r="365" spans="2:10" ht="29.25" customHeight="1" x14ac:dyDescent="0.25">
      <c r="B365" s="789" t="s">
        <v>157</v>
      </c>
      <c r="C365" s="790"/>
      <c r="D365" s="904" t="s">
        <v>435</v>
      </c>
      <c r="E365" s="905"/>
      <c r="F365" s="82"/>
      <c r="G365" s="82"/>
      <c r="H365" s="82"/>
      <c r="I365" s="82"/>
      <c r="J365" s="83"/>
    </row>
    <row r="366" spans="2:10" x14ac:dyDescent="0.25">
      <c r="B366" s="822"/>
      <c r="C366" s="854"/>
      <c r="D366" s="758" t="s">
        <v>178</v>
      </c>
      <c r="E366" s="759"/>
      <c r="F366" s="27"/>
      <c r="G366" s="58"/>
      <c r="H366" s="27"/>
      <c r="I366" s="27"/>
      <c r="J366" s="29"/>
    </row>
    <row r="367" spans="2:10" x14ac:dyDescent="0.25">
      <c r="B367" s="60"/>
      <c r="C367" s="61"/>
      <c r="D367" s="392"/>
      <c r="E367" s="401" t="s">
        <v>18</v>
      </c>
      <c r="F367" s="27">
        <v>2</v>
      </c>
      <c r="G367" s="28">
        <f>CENIK_št_1!K68</f>
        <v>49.574996642320414</v>
      </c>
      <c r="H367" s="27"/>
      <c r="I367" s="27"/>
      <c r="J367" s="29">
        <f>F367*G367</f>
        <v>99.149993284640829</v>
      </c>
    </row>
    <row r="368" spans="2:10" x14ac:dyDescent="0.25">
      <c r="B368" s="60"/>
      <c r="C368" s="61"/>
      <c r="D368" s="910" t="s">
        <v>233</v>
      </c>
      <c r="E368" s="911"/>
      <c r="F368" s="27">
        <v>2</v>
      </c>
      <c r="G368" s="28">
        <f>CENIK_št_1!K101</f>
        <v>18.878125000000001</v>
      </c>
      <c r="H368" s="27"/>
      <c r="I368" s="27"/>
      <c r="J368" s="29">
        <f>F368*G368</f>
        <v>37.756250000000001</v>
      </c>
    </row>
    <row r="369" spans="2:10" ht="17.25" customHeight="1" x14ac:dyDescent="0.25">
      <c r="B369" s="60"/>
      <c r="C369" s="61"/>
      <c r="D369" s="371"/>
      <c r="E369" s="401" t="s">
        <v>13</v>
      </c>
      <c r="F369" s="27">
        <v>1</v>
      </c>
      <c r="G369" s="28">
        <f>G356</f>
        <v>33.810121642320418</v>
      </c>
      <c r="H369" s="27"/>
      <c r="I369" s="27"/>
      <c r="J369" s="29">
        <f>F369*G369</f>
        <v>33.810121642320418</v>
      </c>
    </row>
    <row r="370" spans="2:10" ht="28.5" customHeight="1" x14ac:dyDescent="0.25">
      <c r="B370" s="60"/>
      <c r="C370" s="61"/>
      <c r="D370" s="906" t="s">
        <v>357</v>
      </c>
      <c r="E370" s="907"/>
      <c r="F370" s="27">
        <v>1</v>
      </c>
      <c r="G370" s="28">
        <f>CENIK_št_1!K33</f>
        <v>21.016080827612811</v>
      </c>
      <c r="H370" s="27"/>
      <c r="I370" s="27"/>
      <c r="J370" s="29">
        <f>F370*G370</f>
        <v>21.016080827612811</v>
      </c>
    </row>
    <row r="371" spans="2:10" x14ac:dyDescent="0.25">
      <c r="B371" s="60"/>
      <c r="C371" s="61"/>
      <c r="D371" s="780" t="s">
        <v>207</v>
      </c>
      <c r="E371" s="781"/>
      <c r="F371" s="96"/>
      <c r="G371" s="92"/>
      <c r="H371" s="97"/>
      <c r="I371" s="97"/>
      <c r="J371" s="93"/>
    </row>
    <row r="372" spans="2:10" x14ac:dyDescent="0.25">
      <c r="B372" s="60"/>
      <c r="C372" s="61"/>
      <c r="D372" s="912" t="str">
        <f>D359</f>
        <v>Ročna motorna kosa</v>
      </c>
      <c r="E372" s="913"/>
      <c r="F372" s="27">
        <v>1</v>
      </c>
      <c r="G372" s="92">
        <f>CENIK_št_1!K111</f>
        <v>7.8266999999999989</v>
      </c>
      <c r="H372" s="97"/>
      <c r="I372" s="97"/>
      <c r="J372" s="93">
        <f>F372*G372</f>
        <v>7.8266999999999989</v>
      </c>
    </row>
    <row r="373" spans="2:10" ht="15.75" thickBot="1" x14ac:dyDescent="0.3">
      <c r="B373" s="372"/>
      <c r="C373" s="373"/>
      <c r="D373" s="374"/>
      <c r="E373" s="375" t="str">
        <f>E360</f>
        <v>Pihalnik listja</v>
      </c>
      <c r="F373" s="32">
        <v>0.5</v>
      </c>
      <c r="G373" s="99">
        <f>G360</f>
        <v>9.6815249999999988</v>
      </c>
      <c r="H373" s="100"/>
      <c r="I373" s="100"/>
      <c r="J373" s="93">
        <f>F373*G373</f>
        <v>4.8407624999999994</v>
      </c>
    </row>
    <row r="374" spans="2:10" ht="15.75" thickBot="1" x14ac:dyDescent="0.3">
      <c r="B374" s="772"/>
      <c r="C374" s="773"/>
      <c r="D374" s="754" t="s">
        <v>204</v>
      </c>
      <c r="E374" s="774"/>
      <c r="F374" s="26">
        <v>700</v>
      </c>
      <c r="G374" s="66"/>
      <c r="H374" s="26"/>
      <c r="I374" s="26">
        <v>1</v>
      </c>
      <c r="J374" s="405">
        <f>SUM(J367:J373)/F374</f>
        <v>0.29199986893510577</v>
      </c>
    </row>
    <row r="375" spans="2:10" ht="15.75" thickBot="1" x14ac:dyDescent="0.3"/>
    <row r="376" spans="2:10" ht="15.75" thickBot="1" x14ac:dyDescent="0.3">
      <c r="B376" s="663" t="s">
        <v>147</v>
      </c>
      <c r="C376" s="665"/>
      <c r="D376" s="663" t="s">
        <v>138</v>
      </c>
      <c r="E376" s="664"/>
      <c r="F376" s="664"/>
      <c r="G376" s="664"/>
      <c r="H376" s="664"/>
      <c r="I376" s="664"/>
      <c r="J376" s="665"/>
    </row>
    <row r="377" spans="2:10" ht="23.25" thickBot="1" x14ac:dyDescent="0.3">
      <c r="B377" s="755" t="s">
        <v>37</v>
      </c>
      <c r="C377" s="786"/>
      <c r="D377" s="800" t="s">
        <v>38</v>
      </c>
      <c r="E377" s="801"/>
      <c r="F377" s="54" t="s">
        <v>177</v>
      </c>
      <c r="G377" s="54" t="s">
        <v>165</v>
      </c>
      <c r="H377" s="54" t="s">
        <v>183</v>
      </c>
      <c r="I377" s="67" t="s">
        <v>197</v>
      </c>
      <c r="J377" s="55" t="s">
        <v>42</v>
      </c>
    </row>
    <row r="378" spans="2:10" ht="21.75" customHeight="1" x14ac:dyDescent="0.25">
      <c r="B378" s="789" t="s">
        <v>158</v>
      </c>
      <c r="C378" s="790"/>
      <c r="D378" s="904" t="s">
        <v>436</v>
      </c>
      <c r="E378" s="905"/>
      <c r="F378" s="82"/>
      <c r="G378" s="82"/>
      <c r="H378" s="82"/>
      <c r="I378" s="82"/>
      <c r="J378" s="83"/>
    </row>
    <row r="379" spans="2:10" x14ac:dyDescent="0.25">
      <c r="B379" s="822"/>
      <c r="C379" s="854"/>
      <c r="D379" s="758" t="s">
        <v>178</v>
      </c>
      <c r="E379" s="759"/>
      <c r="F379" s="27"/>
      <c r="G379" s="58"/>
      <c r="H379" s="27"/>
      <c r="I379" s="27"/>
      <c r="J379" s="29"/>
    </row>
    <row r="380" spans="2:10" x14ac:dyDescent="0.25">
      <c r="B380" s="60"/>
      <c r="C380" s="61"/>
      <c r="D380" s="392"/>
      <c r="E380" s="401" t="s">
        <v>18</v>
      </c>
      <c r="F380" s="27">
        <v>3.5</v>
      </c>
      <c r="G380" s="28">
        <f>CENIK_št_1!K68</f>
        <v>49.574996642320414</v>
      </c>
      <c r="H380" s="27"/>
      <c r="I380" s="27"/>
      <c r="J380" s="29">
        <f>F380*G380</f>
        <v>173.51248824812146</v>
      </c>
    </row>
    <row r="381" spans="2:10" x14ac:dyDescent="0.25">
      <c r="B381" s="60"/>
      <c r="C381" s="61"/>
      <c r="D381" s="910" t="s">
        <v>233</v>
      </c>
      <c r="E381" s="911"/>
      <c r="F381" s="27">
        <v>3.5</v>
      </c>
      <c r="G381" s="28">
        <f>CENIK_št_1!K116</f>
        <v>15.116849999999999</v>
      </c>
      <c r="H381" s="27"/>
      <c r="I381" s="27"/>
      <c r="J381" s="29">
        <f>F381*G381</f>
        <v>52.908974999999998</v>
      </c>
    </row>
    <row r="382" spans="2:10" ht="27.75" customHeight="1" x14ac:dyDescent="0.25">
      <c r="B382" s="60"/>
      <c r="C382" s="61"/>
      <c r="D382" s="906" t="s">
        <v>357</v>
      </c>
      <c r="E382" s="907"/>
      <c r="F382" s="27">
        <v>1</v>
      </c>
      <c r="G382" s="28">
        <f>G370</f>
        <v>21.016080827612811</v>
      </c>
      <c r="H382" s="27"/>
      <c r="I382" s="27"/>
      <c r="J382" s="29">
        <f>F382*G382</f>
        <v>21.016080827612811</v>
      </c>
    </row>
    <row r="383" spans="2:10" x14ac:dyDescent="0.25">
      <c r="B383" s="60"/>
      <c r="C383" s="61"/>
      <c r="D383" s="780" t="s">
        <v>207</v>
      </c>
      <c r="E383" s="781"/>
      <c r="F383" s="96"/>
      <c r="G383" s="92"/>
      <c r="H383" s="97"/>
      <c r="I383" s="97"/>
      <c r="J383" s="93"/>
    </row>
    <row r="384" spans="2:10" ht="15.75" thickBot="1" x14ac:dyDescent="0.3">
      <c r="B384" s="372"/>
      <c r="C384" s="373"/>
      <c r="D384" s="374"/>
      <c r="E384" s="375" t="str">
        <f>E373</f>
        <v>Pihalnik listja</v>
      </c>
      <c r="F384" s="32">
        <v>0.5</v>
      </c>
      <c r="G384" s="99">
        <f>G373</f>
        <v>9.6815249999999988</v>
      </c>
      <c r="H384" s="100"/>
      <c r="I384" s="100"/>
      <c r="J384" s="93">
        <f>F384*G384</f>
        <v>4.8407624999999994</v>
      </c>
    </row>
    <row r="385" spans="2:10" ht="15.75" thickBot="1" x14ac:dyDescent="0.3">
      <c r="B385" s="772"/>
      <c r="C385" s="773"/>
      <c r="D385" s="754" t="s">
        <v>204</v>
      </c>
      <c r="E385" s="774"/>
      <c r="F385" s="26">
        <v>700</v>
      </c>
      <c r="G385" s="66"/>
      <c r="H385" s="26"/>
      <c r="I385" s="26">
        <v>1</v>
      </c>
      <c r="J385" s="405">
        <f>SUM(J380:J384)/F385</f>
        <v>0.36039758082247753</v>
      </c>
    </row>
    <row r="386" spans="2:10" ht="15.75" thickBot="1" x14ac:dyDescent="0.3"/>
    <row r="387" spans="2:10" ht="15.75" thickBot="1" x14ac:dyDescent="0.3">
      <c r="B387" s="663" t="s">
        <v>147</v>
      </c>
      <c r="C387" s="665"/>
      <c r="D387" s="663" t="s">
        <v>138</v>
      </c>
      <c r="E387" s="664"/>
      <c r="F387" s="664"/>
      <c r="G387" s="664"/>
      <c r="H387" s="664"/>
      <c r="I387" s="664"/>
      <c r="J387" s="665"/>
    </row>
    <row r="388" spans="2:10" ht="23.25" thickBot="1" x14ac:dyDescent="0.3">
      <c r="B388" s="755" t="s">
        <v>37</v>
      </c>
      <c r="C388" s="786"/>
      <c r="D388" s="800" t="s">
        <v>38</v>
      </c>
      <c r="E388" s="801"/>
      <c r="F388" s="54" t="s">
        <v>177</v>
      </c>
      <c r="G388" s="54" t="s">
        <v>165</v>
      </c>
      <c r="H388" s="54" t="s">
        <v>183</v>
      </c>
      <c r="I388" s="67" t="s">
        <v>197</v>
      </c>
      <c r="J388" s="55" t="s">
        <v>42</v>
      </c>
    </row>
    <row r="389" spans="2:10" ht="36" customHeight="1" x14ac:dyDescent="0.25">
      <c r="B389" s="789" t="s">
        <v>157</v>
      </c>
      <c r="C389" s="790"/>
      <c r="D389" s="904" t="s">
        <v>437</v>
      </c>
      <c r="E389" s="905"/>
      <c r="F389" s="82"/>
      <c r="G389" s="82"/>
      <c r="H389" s="82"/>
      <c r="I389" s="82"/>
      <c r="J389" s="83"/>
    </row>
    <row r="390" spans="2:10" x14ac:dyDescent="0.25">
      <c r="B390" s="822"/>
      <c r="C390" s="854"/>
      <c r="D390" s="758" t="s">
        <v>178</v>
      </c>
      <c r="E390" s="759"/>
      <c r="F390" s="27"/>
      <c r="G390" s="58"/>
      <c r="H390" s="27"/>
      <c r="I390" s="27"/>
      <c r="J390" s="29"/>
    </row>
    <row r="391" spans="2:10" x14ac:dyDescent="0.25">
      <c r="B391" s="60"/>
      <c r="C391" s="61"/>
      <c r="D391" s="392"/>
      <c r="E391" s="401" t="s">
        <v>18</v>
      </c>
      <c r="F391" s="27">
        <v>3.5</v>
      </c>
      <c r="G391" s="28">
        <f>G380</f>
        <v>49.574996642320414</v>
      </c>
      <c r="H391" s="27"/>
      <c r="I391" s="27"/>
      <c r="J391" s="29">
        <f>F391*G391</f>
        <v>173.51248824812146</v>
      </c>
    </row>
    <row r="392" spans="2:10" x14ac:dyDescent="0.25">
      <c r="B392" s="60"/>
      <c r="C392" s="61"/>
      <c r="D392" s="910" t="s">
        <v>233</v>
      </c>
      <c r="E392" s="911"/>
      <c r="F392" s="27">
        <v>3.5</v>
      </c>
      <c r="G392" s="28">
        <f>G381</f>
        <v>15.116849999999999</v>
      </c>
      <c r="H392" s="27"/>
      <c r="I392" s="27"/>
      <c r="J392" s="29">
        <f>F392*G392</f>
        <v>52.908974999999998</v>
      </c>
    </row>
    <row r="393" spans="2:10" ht="25.5" x14ac:dyDescent="0.25">
      <c r="B393" s="60"/>
      <c r="C393" s="61"/>
      <c r="D393" s="371"/>
      <c r="E393" s="401" t="s">
        <v>13</v>
      </c>
      <c r="F393" s="27">
        <v>2</v>
      </c>
      <c r="G393" s="28">
        <f>G380</f>
        <v>49.574996642320414</v>
      </c>
      <c r="H393" s="27"/>
      <c r="I393" s="27"/>
      <c r="J393" s="29">
        <f>F393*G393</f>
        <v>99.149993284640829</v>
      </c>
    </row>
    <row r="394" spans="2:10" ht="28.5" customHeight="1" x14ac:dyDescent="0.25">
      <c r="B394" s="60"/>
      <c r="C394" s="61"/>
      <c r="D394" s="910" t="s">
        <v>357</v>
      </c>
      <c r="E394" s="911"/>
      <c r="F394" s="27">
        <v>4</v>
      </c>
      <c r="G394" s="28">
        <f>G382</f>
        <v>21.016080827612811</v>
      </c>
      <c r="H394" s="27"/>
      <c r="I394" s="27"/>
      <c r="J394" s="29">
        <f>F394*G394</f>
        <v>84.064323310451243</v>
      </c>
    </row>
    <row r="395" spans="2:10" x14ac:dyDescent="0.25">
      <c r="B395" s="60"/>
      <c r="C395" s="61"/>
      <c r="D395" s="394"/>
      <c r="E395" s="401" t="s">
        <v>340</v>
      </c>
      <c r="F395" s="27">
        <v>4</v>
      </c>
      <c r="G395" s="28">
        <f>CENIK_št_1!K32</f>
        <v>20.747507542833958</v>
      </c>
      <c r="H395" s="27"/>
      <c r="I395" s="27"/>
      <c r="J395" s="29">
        <f>F395*G395</f>
        <v>82.990030171335832</v>
      </c>
    </row>
    <row r="396" spans="2:10" x14ac:dyDescent="0.25">
      <c r="B396" s="60"/>
      <c r="C396" s="61"/>
      <c r="D396" s="780" t="s">
        <v>207</v>
      </c>
      <c r="E396" s="781"/>
      <c r="F396" s="96"/>
      <c r="G396" s="92"/>
      <c r="H396" s="97"/>
      <c r="I396" s="97"/>
      <c r="J396" s="93"/>
    </row>
    <row r="397" spans="2:10" x14ac:dyDescent="0.25">
      <c r="B397" s="60"/>
      <c r="C397" s="61"/>
      <c r="D397" s="338"/>
      <c r="E397" s="340" t="str">
        <f>D372</f>
        <v>Ročna motorna kosa</v>
      </c>
      <c r="F397" s="96">
        <v>6</v>
      </c>
      <c r="G397" s="92">
        <f>CENIK_št_1!K111</f>
        <v>7.8266999999999989</v>
      </c>
      <c r="H397" s="97"/>
      <c r="I397" s="97"/>
      <c r="J397" s="93">
        <f>F397*G397</f>
        <v>46.960199999999993</v>
      </c>
    </row>
    <row r="398" spans="2:10" x14ac:dyDescent="0.25">
      <c r="B398" s="60"/>
      <c r="C398" s="61"/>
      <c r="D398" s="912" t="str">
        <f>E373</f>
        <v>Pihalnik listja</v>
      </c>
      <c r="E398" s="913"/>
      <c r="F398" s="27">
        <v>3</v>
      </c>
      <c r="G398" s="92">
        <f>G384</f>
        <v>9.6815249999999988</v>
      </c>
      <c r="H398" s="97"/>
      <c r="I398" s="97"/>
      <c r="J398" s="93">
        <f>F398*G398</f>
        <v>29.044574999999995</v>
      </c>
    </row>
    <row r="399" spans="2:10" x14ac:dyDescent="0.25">
      <c r="B399" s="372"/>
      <c r="C399" s="373"/>
      <c r="D399" s="374"/>
      <c r="E399" s="375"/>
      <c r="F399" s="32"/>
      <c r="G399" s="99"/>
      <c r="H399" s="100"/>
      <c r="I399" s="100"/>
      <c r="J399" s="93"/>
    </row>
    <row r="400" spans="2:10" ht="15.75" thickBot="1" x14ac:dyDescent="0.3">
      <c r="B400" s="772"/>
      <c r="C400" s="773"/>
      <c r="D400" s="754" t="s">
        <v>204</v>
      </c>
      <c r="E400" s="774"/>
      <c r="F400" s="26">
        <v>700</v>
      </c>
      <c r="G400" s="66"/>
      <c r="H400" s="26"/>
      <c r="I400" s="26">
        <v>1</v>
      </c>
      <c r="J400" s="405">
        <f>SUM(J391:J399)/F400</f>
        <v>0.81232940716364199</v>
      </c>
    </row>
    <row r="402" spans="2:10" ht="15.75" thickBot="1" x14ac:dyDescent="0.3">
      <c r="B402" s="63"/>
      <c r="C402" s="63"/>
      <c r="D402" s="63"/>
      <c r="E402" s="63"/>
      <c r="F402" s="63"/>
      <c r="G402" s="63"/>
      <c r="H402" s="63"/>
      <c r="I402" s="63"/>
      <c r="J402" s="63"/>
    </row>
    <row r="403" spans="2:10" ht="15.75" thickTop="1" x14ac:dyDescent="0.25"/>
    <row r="404" spans="2:10" ht="15.75" thickBot="1" x14ac:dyDescent="0.3"/>
    <row r="405" spans="2:10" ht="15.75" thickBot="1" x14ac:dyDescent="0.3">
      <c r="B405" s="663" t="s">
        <v>160</v>
      </c>
      <c r="C405" s="665"/>
      <c r="D405" s="667" t="s">
        <v>152</v>
      </c>
      <c r="E405" s="668"/>
      <c r="F405" s="668"/>
      <c r="G405" s="668"/>
      <c r="H405" s="668"/>
      <c r="I405" s="668"/>
      <c r="J405" s="669"/>
    </row>
    <row r="406" spans="2:10" ht="23.25" thickBot="1" x14ac:dyDescent="0.3">
      <c r="B406" s="755" t="s">
        <v>37</v>
      </c>
      <c r="C406" s="786"/>
      <c r="D406" s="800" t="s">
        <v>38</v>
      </c>
      <c r="E406" s="801"/>
      <c r="F406" s="54" t="s">
        <v>177</v>
      </c>
      <c r="G406" s="54" t="s">
        <v>165</v>
      </c>
      <c r="H406" s="54" t="s">
        <v>183</v>
      </c>
      <c r="I406" s="67" t="s">
        <v>197</v>
      </c>
      <c r="J406" s="55" t="s">
        <v>42</v>
      </c>
    </row>
    <row r="407" spans="2:10" ht="29.25" customHeight="1" x14ac:dyDescent="0.25">
      <c r="B407" s="789" t="s">
        <v>161</v>
      </c>
      <c r="C407" s="790"/>
      <c r="D407" s="899" t="s">
        <v>154</v>
      </c>
      <c r="E407" s="900"/>
      <c r="F407" s="82"/>
      <c r="G407" s="82"/>
      <c r="H407" s="82"/>
      <c r="I407" s="82"/>
      <c r="J407" s="83"/>
    </row>
    <row r="408" spans="2:10" x14ac:dyDescent="0.25">
      <c r="B408" s="822"/>
      <c r="C408" s="854"/>
      <c r="D408" s="758" t="s">
        <v>178</v>
      </c>
      <c r="E408" s="759"/>
      <c r="F408" s="27"/>
      <c r="G408" s="58"/>
      <c r="H408" s="27"/>
      <c r="I408" s="27"/>
      <c r="J408" s="29"/>
    </row>
    <row r="409" spans="2:10" x14ac:dyDescent="0.25">
      <c r="B409" s="60"/>
      <c r="C409" s="61"/>
      <c r="D409" s="342"/>
      <c r="E409" s="343" t="str">
        <f>CENIK_št_1!B54</f>
        <v>Tovorno vozilo do 3,5 t sdm</v>
      </c>
      <c r="F409" s="27">
        <v>1</v>
      </c>
      <c r="G409" s="28">
        <f>CENIK_št_1!K54</f>
        <v>33.810121642320418</v>
      </c>
      <c r="H409" s="27"/>
      <c r="I409" s="27"/>
      <c r="J409" s="29">
        <f>F409*G409</f>
        <v>33.810121642320418</v>
      </c>
    </row>
    <row r="410" spans="2:10" x14ac:dyDescent="0.25">
      <c r="B410" s="60"/>
      <c r="C410" s="61"/>
      <c r="D410" s="342"/>
      <c r="E410" s="391" t="str">
        <f>CENIK_št_1!B32</f>
        <v xml:space="preserve">Komunalni delavec </v>
      </c>
      <c r="F410" s="27">
        <v>1</v>
      </c>
      <c r="G410" s="28">
        <f>CENIK_št_1!K32</f>
        <v>20.747507542833958</v>
      </c>
      <c r="H410" s="27"/>
      <c r="I410" s="27"/>
      <c r="J410" s="29">
        <f>F410*G410</f>
        <v>20.747507542833958</v>
      </c>
    </row>
    <row r="411" spans="2:10" ht="25.5" customHeight="1" x14ac:dyDescent="0.25">
      <c r="B411" s="60"/>
      <c r="C411" s="61"/>
      <c r="D411" s="908" t="s">
        <v>438</v>
      </c>
      <c r="E411" s="909"/>
      <c r="F411" s="98">
        <v>1</v>
      </c>
      <c r="G411" s="28">
        <v>35</v>
      </c>
      <c r="H411" s="27"/>
      <c r="I411" s="27"/>
      <c r="J411" s="29">
        <f>F411*G411</f>
        <v>35</v>
      </c>
    </row>
    <row r="412" spans="2:10" x14ac:dyDescent="0.25">
      <c r="B412" s="64"/>
      <c r="C412" s="65"/>
      <c r="D412" s="780" t="s">
        <v>208</v>
      </c>
      <c r="E412" s="781"/>
      <c r="F412" s="31"/>
      <c r="G412" s="80"/>
      <c r="H412" s="31"/>
      <c r="I412" s="31"/>
      <c r="J412" s="79"/>
    </row>
    <row r="413" spans="2:10" ht="27.75" customHeight="1" thickBot="1" x14ac:dyDescent="0.3">
      <c r="B413" s="64"/>
      <c r="C413" s="65"/>
      <c r="D413" s="338"/>
      <c r="E413" s="341" t="str">
        <f>CENIK_št_1!B141</f>
        <v>Najemnina za cestno prometne znake</v>
      </c>
      <c r="F413" s="27">
        <v>2</v>
      </c>
      <c r="G413" s="80">
        <f>CENIK_št_1!K141</f>
        <v>2.2916666666666665</v>
      </c>
      <c r="H413" s="31"/>
      <c r="I413" s="31"/>
      <c r="J413" s="79">
        <f>F413*G413</f>
        <v>4.583333333333333</v>
      </c>
    </row>
    <row r="414" spans="2:10" ht="15.75" thickBot="1" x14ac:dyDescent="0.3">
      <c r="B414" s="772"/>
      <c r="C414" s="773"/>
      <c r="D414" s="754" t="s">
        <v>210</v>
      </c>
      <c r="E414" s="774"/>
      <c r="F414" s="26">
        <v>10</v>
      </c>
      <c r="G414" s="66"/>
      <c r="H414" s="26"/>
      <c r="I414" s="26">
        <v>1</v>
      </c>
      <c r="J414" s="56">
        <f>(J409+J410+J411+J413)/F414</f>
        <v>9.4140962518487719</v>
      </c>
    </row>
    <row r="415" spans="2:10" ht="15.75" thickBot="1" x14ac:dyDescent="0.3">
      <c r="B415" s="199"/>
      <c r="C415" s="199"/>
      <c r="D415" s="200"/>
      <c r="E415" s="200"/>
      <c r="F415" s="201"/>
      <c r="G415" s="202"/>
      <c r="H415" s="201"/>
      <c r="I415" s="201"/>
      <c r="J415" s="203"/>
    </row>
    <row r="416" spans="2:10" ht="15.75" thickBot="1" x14ac:dyDescent="0.3">
      <c r="B416" s="663" t="s">
        <v>160</v>
      </c>
      <c r="C416" s="665"/>
      <c r="D416" s="667" t="s">
        <v>152</v>
      </c>
      <c r="E416" s="668"/>
      <c r="F416" s="668"/>
      <c r="G416" s="668"/>
      <c r="H416" s="668"/>
      <c r="I416" s="668"/>
      <c r="J416" s="669"/>
    </row>
    <row r="417" spans="2:10" ht="23.25" thickBot="1" x14ac:dyDescent="0.3">
      <c r="B417" s="755" t="s">
        <v>37</v>
      </c>
      <c r="C417" s="786"/>
      <c r="D417" s="800" t="s">
        <v>38</v>
      </c>
      <c r="E417" s="801"/>
      <c r="F417" s="54" t="s">
        <v>177</v>
      </c>
      <c r="G417" s="54" t="s">
        <v>165</v>
      </c>
      <c r="H417" s="54" t="s">
        <v>183</v>
      </c>
      <c r="I417" s="67" t="s">
        <v>197</v>
      </c>
      <c r="J417" s="55" t="s">
        <v>42</v>
      </c>
    </row>
    <row r="418" spans="2:10" ht="47.25" customHeight="1" x14ac:dyDescent="0.25">
      <c r="B418" s="789" t="s">
        <v>162</v>
      </c>
      <c r="C418" s="790"/>
      <c r="D418" s="899" t="s">
        <v>439</v>
      </c>
      <c r="E418" s="900"/>
      <c r="F418" s="82"/>
      <c r="G418" s="82"/>
      <c r="H418" s="82"/>
      <c r="I418" s="82"/>
      <c r="J418" s="83"/>
    </row>
    <row r="419" spans="2:10" x14ac:dyDescent="0.25">
      <c r="B419" s="822"/>
      <c r="C419" s="854"/>
      <c r="D419" s="758" t="s">
        <v>178</v>
      </c>
      <c r="E419" s="759"/>
      <c r="F419" s="27"/>
      <c r="G419" s="58"/>
      <c r="H419" s="27"/>
      <c r="I419" s="27"/>
      <c r="J419" s="29"/>
    </row>
    <row r="420" spans="2:10" x14ac:dyDescent="0.25">
      <c r="B420" s="60"/>
      <c r="C420" s="61"/>
      <c r="D420" s="342"/>
      <c r="E420" s="343" t="str">
        <f>CENIK_št_1!B54</f>
        <v>Tovorno vozilo do 3,5 t sdm</v>
      </c>
      <c r="F420" s="27">
        <v>5</v>
      </c>
      <c r="G420" s="28">
        <f>CENIK_št_1!K54</f>
        <v>33.810121642320418</v>
      </c>
      <c r="H420" s="27"/>
      <c r="I420" s="27"/>
      <c r="J420" s="29">
        <f>F420*G420</f>
        <v>169.05060821160208</v>
      </c>
    </row>
    <row r="421" spans="2:10" ht="34.5" x14ac:dyDescent="0.25">
      <c r="B421" s="60"/>
      <c r="C421" s="61"/>
      <c r="D421" s="342"/>
      <c r="E421" s="381" t="str">
        <f>CENIK_št_1!B33</f>
        <v>Delovodja, Skupinovodja, Preglednik, Dispečer, Voznik, Strojnik</v>
      </c>
      <c r="F421" s="27">
        <v>5</v>
      </c>
      <c r="G421" s="28">
        <f>CENIK_št_1!K33</f>
        <v>21.016080827612811</v>
      </c>
      <c r="H421" s="27"/>
      <c r="I421" s="27"/>
      <c r="J421" s="29">
        <f t="shared" ref="J421:J425" si="0">F421*G421</f>
        <v>105.08040413806405</v>
      </c>
    </row>
    <row r="422" spans="2:10" x14ac:dyDescent="0.25">
      <c r="B422" s="64"/>
      <c r="C422" s="65"/>
      <c r="D422" s="780" t="s">
        <v>208</v>
      </c>
      <c r="E422" s="781"/>
      <c r="F422" s="31"/>
      <c r="G422" s="80"/>
      <c r="H422" s="31"/>
      <c r="I422" s="31"/>
      <c r="J422" s="29"/>
    </row>
    <row r="423" spans="2:10" x14ac:dyDescent="0.25">
      <c r="B423" s="64"/>
      <c r="C423" s="65"/>
      <c r="D423" s="338"/>
      <c r="E423" s="341" t="str">
        <f>CENIK_št_1!B119</f>
        <v>Električni bencinski agregat</v>
      </c>
      <c r="F423" s="27">
        <v>3</v>
      </c>
      <c r="G423" s="80">
        <f>CENIK_št_1!K119</f>
        <v>10.759583333333335</v>
      </c>
      <c r="H423" s="31"/>
      <c r="I423" s="31"/>
      <c r="J423" s="29">
        <f t="shared" si="0"/>
        <v>32.278750000000002</v>
      </c>
    </row>
    <row r="424" spans="2:10" x14ac:dyDescent="0.25">
      <c r="B424" s="64"/>
      <c r="C424" s="65"/>
      <c r="D424" s="338"/>
      <c r="E424" s="341" t="str">
        <f>CENIK_št_1!B120</f>
        <v>Električno udarno kladivo</v>
      </c>
      <c r="F424" s="27">
        <v>3</v>
      </c>
      <c r="G424" s="80">
        <f>CENIK_št_1!K120</f>
        <v>11.025</v>
      </c>
      <c r="H424" s="31"/>
      <c r="I424" s="31"/>
      <c r="J424" s="29">
        <f t="shared" si="0"/>
        <v>33.075000000000003</v>
      </c>
    </row>
    <row r="425" spans="2:10" ht="23.25" customHeight="1" thickBot="1" x14ac:dyDescent="0.3">
      <c r="B425" s="64"/>
      <c r="C425" s="65"/>
      <c r="D425" s="338"/>
      <c r="E425" s="341" t="str">
        <f>CENIK_št_1!B141</f>
        <v>Najemnina za cestno prometne znake</v>
      </c>
      <c r="F425" s="27">
        <v>2</v>
      </c>
      <c r="G425" s="80">
        <f>CENIK_št_1!K141</f>
        <v>2.2916666666666665</v>
      </c>
      <c r="H425" s="31"/>
      <c r="I425" s="31"/>
      <c r="J425" s="29">
        <f t="shared" si="0"/>
        <v>4.583333333333333</v>
      </c>
    </row>
    <row r="426" spans="2:10" ht="15.75" thickBot="1" x14ac:dyDescent="0.3">
      <c r="B426" s="772"/>
      <c r="C426" s="773"/>
      <c r="D426" s="754" t="s">
        <v>257</v>
      </c>
      <c r="E426" s="774"/>
      <c r="F426" s="26"/>
      <c r="G426" s="66"/>
      <c r="H426" s="26"/>
      <c r="I426" s="26">
        <v>1</v>
      </c>
      <c r="J426" s="56">
        <f>SUM(J420:J425)</f>
        <v>344.06809568299946</v>
      </c>
    </row>
    <row r="427" spans="2:10" ht="15.75" thickBot="1" x14ac:dyDescent="0.3">
      <c r="B427" s="199"/>
      <c r="C427" s="199"/>
      <c r="D427" s="200"/>
      <c r="E427" s="200"/>
      <c r="F427" s="201"/>
      <c r="G427" s="202"/>
      <c r="H427" s="201"/>
      <c r="I427" s="201"/>
      <c r="J427" s="203"/>
    </row>
    <row r="428" spans="2:10" ht="15.75" thickBot="1" x14ac:dyDescent="0.3">
      <c r="B428" s="663" t="s">
        <v>160</v>
      </c>
      <c r="C428" s="665"/>
      <c r="D428" s="667" t="s">
        <v>152</v>
      </c>
      <c r="E428" s="668"/>
      <c r="F428" s="668"/>
      <c r="G428" s="668"/>
      <c r="H428" s="668"/>
      <c r="I428" s="668"/>
      <c r="J428" s="669"/>
    </row>
    <row r="429" spans="2:10" ht="23.25" thickBot="1" x14ac:dyDescent="0.3">
      <c r="B429" s="755" t="s">
        <v>37</v>
      </c>
      <c r="C429" s="786"/>
      <c r="D429" s="800" t="s">
        <v>38</v>
      </c>
      <c r="E429" s="801"/>
      <c r="F429" s="54" t="s">
        <v>177</v>
      </c>
      <c r="G429" s="54" t="s">
        <v>165</v>
      </c>
      <c r="H429" s="54" t="s">
        <v>183</v>
      </c>
      <c r="I429" s="67" t="s">
        <v>197</v>
      </c>
      <c r="J429" s="55" t="s">
        <v>42</v>
      </c>
    </row>
    <row r="430" spans="2:10" ht="48" customHeight="1" x14ac:dyDescent="0.25">
      <c r="B430" s="789" t="s">
        <v>163</v>
      </c>
      <c r="C430" s="790"/>
      <c r="D430" s="899" t="s">
        <v>440</v>
      </c>
      <c r="E430" s="900"/>
      <c r="F430" s="82"/>
      <c r="G430" s="82"/>
      <c r="H430" s="82"/>
      <c r="I430" s="82"/>
      <c r="J430" s="83"/>
    </row>
    <row r="431" spans="2:10" x14ac:dyDescent="0.25">
      <c r="B431" s="822"/>
      <c r="C431" s="854"/>
      <c r="D431" s="758" t="s">
        <v>178</v>
      </c>
      <c r="E431" s="759"/>
      <c r="F431" s="27"/>
      <c r="G431" s="58"/>
      <c r="H431" s="27"/>
      <c r="I431" s="27"/>
      <c r="J431" s="29"/>
    </row>
    <row r="432" spans="2:10" ht="22.5" customHeight="1" x14ac:dyDescent="0.25">
      <c r="B432" s="60"/>
      <c r="C432" s="61"/>
      <c r="D432" s="342"/>
      <c r="E432" s="343" t="str">
        <f>E420</f>
        <v>Tovorno vozilo do 3,5 t sdm</v>
      </c>
      <c r="F432" s="27">
        <v>8</v>
      </c>
      <c r="G432" s="28">
        <f>G420</f>
        <v>33.810121642320418</v>
      </c>
      <c r="H432" s="27"/>
      <c r="I432" s="27"/>
      <c r="J432" s="29">
        <f>F432*G432</f>
        <v>270.48097313856334</v>
      </c>
    </row>
    <row r="433" spans="2:10" ht="22.5" customHeight="1" x14ac:dyDescent="0.25">
      <c r="B433" s="60"/>
      <c r="C433" s="61"/>
      <c r="D433" s="342"/>
      <c r="E433" s="381" t="str">
        <f>E421</f>
        <v>Delovodja, Skupinovodja, Preglednik, Dispečer, Voznik, Strojnik</v>
      </c>
      <c r="F433" s="27">
        <v>8</v>
      </c>
      <c r="G433" s="28">
        <f>G421</f>
        <v>21.016080827612811</v>
      </c>
      <c r="H433" s="27"/>
      <c r="I433" s="27"/>
      <c r="J433" s="29"/>
    </row>
    <row r="434" spans="2:10" x14ac:dyDescent="0.25">
      <c r="B434" s="64"/>
      <c r="C434" s="65"/>
      <c r="D434" s="780" t="s">
        <v>208</v>
      </c>
      <c r="E434" s="781"/>
      <c r="F434" s="31"/>
      <c r="G434" s="80"/>
      <c r="H434" s="31"/>
      <c r="I434" s="31"/>
      <c r="J434" s="29"/>
    </row>
    <row r="435" spans="2:10" x14ac:dyDescent="0.25">
      <c r="B435" s="64"/>
      <c r="C435" s="65"/>
      <c r="D435" s="338"/>
      <c r="E435" s="341" t="str">
        <f>E423</f>
        <v>Električni bencinski agregat</v>
      </c>
      <c r="F435" s="27">
        <v>5</v>
      </c>
      <c r="G435" s="80">
        <f>G423</f>
        <v>10.759583333333335</v>
      </c>
      <c r="H435" s="31"/>
      <c r="I435" s="31"/>
      <c r="J435" s="29">
        <f t="shared" ref="J435:J437" si="1">F435*G435</f>
        <v>53.79791666666668</v>
      </c>
    </row>
    <row r="436" spans="2:10" x14ac:dyDescent="0.25">
      <c r="B436" s="64"/>
      <c r="C436" s="65"/>
      <c r="D436" s="338"/>
      <c r="E436" s="341" t="str">
        <f>E424</f>
        <v>Električno udarno kladivo</v>
      </c>
      <c r="F436" s="27">
        <v>5</v>
      </c>
      <c r="G436" s="80">
        <f>G424</f>
        <v>11.025</v>
      </c>
      <c r="H436" s="31"/>
      <c r="I436" s="31"/>
      <c r="J436" s="29">
        <f t="shared" si="1"/>
        <v>55.125</v>
      </c>
    </row>
    <row r="437" spans="2:10" ht="24" thickBot="1" x14ac:dyDescent="0.3">
      <c r="B437" s="64"/>
      <c r="C437" s="65"/>
      <c r="D437" s="338"/>
      <c r="E437" s="341" t="str">
        <f>E425</f>
        <v>Najemnina za cestno prometne znake</v>
      </c>
      <c r="F437" s="27">
        <v>2</v>
      </c>
      <c r="G437" s="80">
        <f>G425</f>
        <v>2.2916666666666665</v>
      </c>
      <c r="H437" s="31"/>
      <c r="I437" s="31"/>
      <c r="J437" s="29">
        <f t="shared" si="1"/>
        <v>4.583333333333333</v>
      </c>
    </row>
    <row r="438" spans="2:10" ht="15.75" thickBot="1" x14ac:dyDescent="0.3">
      <c r="B438" s="772"/>
      <c r="C438" s="773"/>
      <c r="D438" s="754" t="s">
        <v>257</v>
      </c>
      <c r="E438" s="774"/>
      <c r="F438" s="26"/>
      <c r="G438" s="66"/>
      <c r="H438" s="26"/>
      <c r="I438" s="26">
        <v>1</v>
      </c>
      <c r="J438" s="56">
        <f>SUM(J432:J437)</f>
        <v>383.98722313856337</v>
      </c>
    </row>
    <row r="439" spans="2:10" ht="15.75" thickBot="1" x14ac:dyDescent="0.3">
      <c r="B439" s="199"/>
      <c r="C439" s="199"/>
      <c r="D439" s="200"/>
      <c r="E439" s="200"/>
      <c r="F439" s="201"/>
      <c r="G439" s="202"/>
      <c r="H439" s="201"/>
      <c r="I439" s="201"/>
      <c r="J439" s="203"/>
    </row>
    <row r="440" spans="2:10" ht="15.75" thickBot="1" x14ac:dyDescent="0.3">
      <c r="B440" s="663" t="s">
        <v>160</v>
      </c>
      <c r="C440" s="665"/>
      <c r="D440" s="667" t="s">
        <v>152</v>
      </c>
      <c r="E440" s="668"/>
      <c r="F440" s="668"/>
      <c r="G440" s="668"/>
      <c r="H440" s="668"/>
      <c r="I440" s="668"/>
      <c r="J440" s="669"/>
    </row>
    <row r="441" spans="2:10" ht="23.25" thickBot="1" x14ac:dyDescent="0.3">
      <c r="B441" s="755" t="s">
        <v>37</v>
      </c>
      <c r="C441" s="786"/>
      <c r="D441" s="800" t="s">
        <v>38</v>
      </c>
      <c r="E441" s="801"/>
      <c r="F441" s="54" t="s">
        <v>177</v>
      </c>
      <c r="G441" s="54" t="s">
        <v>165</v>
      </c>
      <c r="H441" s="54" t="s">
        <v>183</v>
      </c>
      <c r="I441" s="67" t="s">
        <v>197</v>
      </c>
      <c r="J441" s="55" t="s">
        <v>42</v>
      </c>
    </row>
    <row r="442" spans="2:10" ht="32.25" customHeight="1" x14ac:dyDescent="0.25">
      <c r="B442" s="789" t="s">
        <v>188</v>
      </c>
      <c r="C442" s="790"/>
      <c r="D442" s="899" t="s">
        <v>441</v>
      </c>
      <c r="E442" s="900"/>
      <c r="F442" s="82"/>
      <c r="G442" s="82"/>
      <c r="H442" s="82"/>
      <c r="I442" s="82"/>
      <c r="J442" s="83"/>
    </row>
    <row r="443" spans="2:10" x14ac:dyDescent="0.25">
      <c r="B443" s="822"/>
      <c r="C443" s="854"/>
      <c r="D443" s="758" t="s">
        <v>178</v>
      </c>
      <c r="E443" s="759"/>
      <c r="F443" s="27"/>
      <c r="G443" s="58"/>
      <c r="H443" s="27"/>
      <c r="I443" s="27"/>
      <c r="J443" s="29"/>
    </row>
    <row r="444" spans="2:10" x14ac:dyDescent="0.25">
      <c r="B444" s="60"/>
      <c r="C444" s="61"/>
      <c r="D444" s="342"/>
      <c r="E444" s="391" t="str">
        <f>CENIK_št_1!B32</f>
        <v xml:space="preserve">Komunalni delavec </v>
      </c>
      <c r="F444" s="27">
        <v>8</v>
      </c>
      <c r="G444" s="28">
        <f>CENIK_št_1!K32</f>
        <v>20.747507542833958</v>
      </c>
      <c r="H444" s="27"/>
      <c r="I444" s="27"/>
      <c r="J444" s="29">
        <f t="shared" ref="J444" si="2">F444*G444</f>
        <v>165.98006034267166</v>
      </c>
    </row>
    <row r="445" spans="2:10" ht="34.5" x14ac:dyDescent="0.25">
      <c r="B445" s="60"/>
      <c r="C445" s="61"/>
      <c r="D445" s="342"/>
      <c r="E445" s="381" t="str">
        <f>E433</f>
        <v>Delovodja, Skupinovodja, Preglednik, Dispečer, Voznik, Strojnik</v>
      </c>
      <c r="F445" s="27">
        <v>2</v>
      </c>
      <c r="G445" s="28">
        <f>G433</f>
        <v>21.016080827612811</v>
      </c>
      <c r="H445" s="27"/>
      <c r="I445" s="27"/>
      <c r="J445" s="29">
        <f>F445*G445</f>
        <v>42.032161655225622</v>
      </c>
    </row>
    <row r="446" spans="2:10" x14ac:dyDescent="0.25">
      <c r="B446" s="64"/>
      <c r="C446" s="65"/>
      <c r="D446" s="780" t="s">
        <v>208</v>
      </c>
      <c r="E446" s="781"/>
      <c r="F446" s="31"/>
      <c r="G446" s="80"/>
      <c r="H446" s="31"/>
      <c r="I446" s="31"/>
      <c r="J446" s="29"/>
    </row>
    <row r="447" spans="2:10" ht="23.25" x14ac:dyDescent="0.25">
      <c r="B447" s="64"/>
      <c r="C447" s="65"/>
      <c r="D447" s="338"/>
      <c r="E447" s="341" t="str">
        <f>E437</f>
        <v>Najemnina za cestno prometne znake</v>
      </c>
      <c r="F447" s="27">
        <v>2</v>
      </c>
      <c r="G447" s="80">
        <f>G437</f>
        <v>2.2916666666666665</v>
      </c>
      <c r="H447" s="31"/>
      <c r="I447" s="31"/>
      <c r="J447" s="29">
        <f>F447*G447</f>
        <v>4.583333333333333</v>
      </c>
    </row>
    <row r="448" spans="2:10" ht="15.75" thickBot="1" x14ac:dyDescent="0.3">
      <c r="B448" s="372"/>
      <c r="C448" s="373"/>
      <c r="D448" s="346"/>
      <c r="E448" s="347" t="str">
        <f>CENIK_št_1!B114</f>
        <v>Pihalnik listja</v>
      </c>
      <c r="F448" s="32">
        <v>2</v>
      </c>
      <c r="G448" s="404">
        <f>CENIK_št_1!K114</f>
        <v>9.6815249999999988</v>
      </c>
      <c r="H448" s="32"/>
      <c r="I448" s="32"/>
      <c r="J448" s="29">
        <f>F448*G448</f>
        <v>19.363049999999998</v>
      </c>
    </row>
    <row r="449" spans="2:10" ht="15.75" thickBot="1" x14ac:dyDescent="0.3">
      <c r="B449" s="772"/>
      <c r="C449" s="773"/>
      <c r="D449" s="754" t="s">
        <v>257</v>
      </c>
      <c r="E449" s="774"/>
      <c r="F449" s="26"/>
      <c r="G449" s="66"/>
      <c r="H449" s="26"/>
      <c r="I449" s="26">
        <v>1</v>
      </c>
      <c r="J449" s="56">
        <f>SUM(J444:J448)</f>
        <v>231.95860533123061</v>
      </c>
    </row>
    <row r="450" spans="2:10" ht="15.75" thickBot="1" x14ac:dyDescent="0.3">
      <c r="B450" s="199"/>
      <c r="C450" s="199"/>
      <c r="D450" s="200"/>
      <c r="E450" s="200"/>
      <c r="F450" s="201"/>
      <c r="G450" s="202"/>
      <c r="H450" s="201"/>
      <c r="I450" s="201"/>
      <c r="J450" s="203"/>
    </row>
    <row r="451" spans="2:10" ht="15.75" thickBot="1" x14ac:dyDescent="0.3">
      <c r="B451" s="663" t="s">
        <v>160</v>
      </c>
      <c r="C451" s="665"/>
      <c r="D451" s="667" t="s">
        <v>152</v>
      </c>
      <c r="E451" s="668"/>
      <c r="F451" s="668"/>
      <c r="G451" s="668"/>
      <c r="H451" s="668"/>
      <c r="I451" s="668"/>
      <c r="J451" s="669"/>
    </row>
    <row r="452" spans="2:10" ht="23.25" thickBot="1" x14ac:dyDescent="0.3">
      <c r="B452" s="755" t="s">
        <v>37</v>
      </c>
      <c r="C452" s="786"/>
      <c r="D452" s="800" t="s">
        <v>38</v>
      </c>
      <c r="E452" s="801"/>
      <c r="F452" s="54" t="s">
        <v>177</v>
      </c>
      <c r="G452" s="54" t="s">
        <v>165</v>
      </c>
      <c r="H452" s="54" t="s">
        <v>183</v>
      </c>
      <c r="I452" s="67" t="s">
        <v>197</v>
      </c>
      <c r="J452" s="55" t="s">
        <v>42</v>
      </c>
    </row>
    <row r="453" spans="2:10" ht="37.5" customHeight="1" x14ac:dyDescent="0.25">
      <c r="B453" s="789" t="s">
        <v>188</v>
      </c>
      <c r="C453" s="790"/>
      <c r="D453" s="899" t="s">
        <v>442</v>
      </c>
      <c r="E453" s="900"/>
      <c r="F453" s="82"/>
      <c r="G453" s="82"/>
      <c r="H453" s="82"/>
      <c r="I453" s="82"/>
      <c r="J453" s="83"/>
    </row>
    <row r="454" spans="2:10" x14ac:dyDescent="0.25">
      <c r="B454" s="822"/>
      <c r="C454" s="854"/>
      <c r="D454" s="758" t="s">
        <v>178</v>
      </c>
      <c r="E454" s="759"/>
      <c r="F454" s="27"/>
      <c r="G454" s="58"/>
      <c r="H454" s="27"/>
      <c r="I454" s="27"/>
      <c r="J454" s="29"/>
    </row>
    <row r="455" spans="2:10" x14ac:dyDescent="0.25">
      <c r="B455" s="60"/>
      <c r="C455" s="61"/>
      <c r="D455" s="342"/>
      <c r="E455" s="343" t="str">
        <f>CENIK_št_1!B54</f>
        <v>Tovorno vozilo do 3,5 t sdm</v>
      </c>
      <c r="F455" s="27">
        <v>8</v>
      </c>
      <c r="G455" s="28">
        <f>CENIK_št_1!K54</f>
        <v>33.810121642320418</v>
      </c>
      <c r="H455" s="27"/>
      <c r="I455" s="27"/>
      <c r="J455" s="29">
        <f>F455*G455</f>
        <v>270.48097313856334</v>
      </c>
    </row>
    <row r="456" spans="2:10" x14ac:dyDescent="0.25">
      <c r="B456" s="60"/>
      <c r="C456" s="61"/>
      <c r="D456" s="342"/>
      <c r="E456" s="391" t="str">
        <f>CENIK_št_1!B32</f>
        <v xml:space="preserve">Komunalni delavec </v>
      </c>
      <c r="F456" s="27">
        <v>8</v>
      </c>
      <c r="G456" s="28">
        <f>CENIK_št_1!K32</f>
        <v>20.747507542833958</v>
      </c>
      <c r="H456" s="27"/>
      <c r="I456" s="27"/>
      <c r="J456" s="29">
        <f t="shared" ref="J456:J457" si="3">F456*G456</f>
        <v>165.98006034267166</v>
      </c>
    </row>
    <row r="457" spans="2:10" ht="23.25" customHeight="1" x14ac:dyDescent="0.25">
      <c r="B457" s="60"/>
      <c r="C457" s="61"/>
      <c r="D457" s="908" t="str">
        <f>CENIK_št_1!B33</f>
        <v>Delovodja, Skupinovodja, Preglednik, Dispečer, Voznik, Strojnik</v>
      </c>
      <c r="E457" s="909"/>
      <c r="F457" s="27">
        <v>2</v>
      </c>
      <c r="G457" s="28">
        <f>CENIK_št_1!K33</f>
        <v>21.016080827612811</v>
      </c>
      <c r="H457" s="27"/>
      <c r="I457" s="27"/>
      <c r="J457" s="29">
        <f t="shared" si="3"/>
        <v>42.032161655225622</v>
      </c>
    </row>
    <row r="458" spans="2:10" x14ac:dyDescent="0.25">
      <c r="B458" s="64"/>
      <c r="C458" s="65"/>
      <c r="D458" s="780" t="s">
        <v>208</v>
      </c>
      <c r="E458" s="781"/>
      <c r="F458" s="31"/>
      <c r="G458" s="80"/>
      <c r="H458" s="31"/>
      <c r="I458" s="31"/>
      <c r="J458" s="29"/>
    </row>
    <row r="459" spans="2:10" ht="23.25" x14ac:dyDescent="0.25">
      <c r="B459" s="64"/>
      <c r="C459" s="65"/>
      <c r="D459" s="338"/>
      <c r="E459" s="341" t="str">
        <f>CENIK_št_1!B141</f>
        <v>Najemnina za cestno prometne znake</v>
      </c>
      <c r="F459" s="27">
        <v>2</v>
      </c>
      <c r="G459" s="80">
        <f>CENIK_št_1!K141</f>
        <v>2.2916666666666665</v>
      </c>
      <c r="H459" s="31"/>
      <c r="I459" s="31"/>
      <c r="J459" s="29">
        <f>F459*G459</f>
        <v>4.583333333333333</v>
      </c>
    </row>
    <row r="460" spans="2:10" ht="15.75" thickBot="1" x14ac:dyDescent="0.3">
      <c r="B460" s="372"/>
      <c r="C460" s="373"/>
      <c r="D460" s="346"/>
      <c r="E460" s="347" t="str">
        <f>CENIK_št_1!B114</f>
        <v>Pihalnik listja</v>
      </c>
      <c r="F460" s="32">
        <v>2</v>
      </c>
      <c r="G460" s="404">
        <f>CENIK_št_1!K114</f>
        <v>9.6815249999999988</v>
      </c>
      <c r="H460" s="32"/>
      <c r="I460" s="32"/>
      <c r="J460" s="377">
        <f>F460*G460</f>
        <v>19.363049999999998</v>
      </c>
    </row>
    <row r="461" spans="2:10" ht="15.75" thickBot="1" x14ac:dyDescent="0.3">
      <c r="B461" s="772"/>
      <c r="C461" s="773"/>
      <c r="D461" s="754" t="s">
        <v>257</v>
      </c>
      <c r="E461" s="774"/>
      <c r="F461" s="26"/>
      <c r="G461" s="66"/>
      <c r="H461" s="26"/>
      <c r="I461" s="26">
        <v>1</v>
      </c>
      <c r="J461" s="56">
        <f>SUM(J455:J460)</f>
        <v>502.4395784697939</v>
      </c>
    </row>
    <row r="462" spans="2:10" ht="15.75" thickBot="1" x14ac:dyDescent="0.3">
      <c r="B462" s="199"/>
      <c r="C462" s="199"/>
      <c r="D462" s="200"/>
      <c r="E462" s="200"/>
      <c r="F462" s="201"/>
      <c r="G462" s="202"/>
      <c r="H462" s="201"/>
      <c r="I462" s="201"/>
      <c r="J462" s="203"/>
    </row>
    <row r="463" spans="2:10" ht="15.75" thickBot="1" x14ac:dyDescent="0.3">
      <c r="B463" s="663" t="s">
        <v>160</v>
      </c>
      <c r="C463" s="665"/>
      <c r="D463" s="667" t="s">
        <v>152</v>
      </c>
      <c r="E463" s="668"/>
      <c r="F463" s="668"/>
      <c r="G463" s="668"/>
      <c r="H463" s="668"/>
      <c r="I463" s="668"/>
      <c r="J463" s="669"/>
    </row>
    <row r="464" spans="2:10" ht="23.25" thickBot="1" x14ac:dyDescent="0.3">
      <c r="B464" s="755" t="s">
        <v>37</v>
      </c>
      <c r="C464" s="786"/>
      <c r="D464" s="800" t="s">
        <v>38</v>
      </c>
      <c r="E464" s="801"/>
      <c r="F464" s="54" t="s">
        <v>177</v>
      </c>
      <c r="G464" s="54" t="s">
        <v>165</v>
      </c>
      <c r="H464" s="54" t="s">
        <v>183</v>
      </c>
      <c r="I464" s="67" t="s">
        <v>197</v>
      </c>
      <c r="J464" s="55" t="s">
        <v>42</v>
      </c>
    </row>
    <row r="465" spans="2:10" ht="21" customHeight="1" x14ac:dyDescent="0.25">
      <c r="B465" s="789" t="s">
        <v>190</v>
      </c>
      <c r="C465" s="790"/>
      <c r="D465" s="899" t="s">
        <v>500</v>
      </c>
      <c r="E465" s="900"/>
      <c r="F465" s="82"/>
      <c r="G465" s="82"/>
      <c r="H465" s="82"/>
      <c r="I465" s="82"/>
      <c r="J465" s="83"/>
    </row>
    <row r="466" spans="2:10" x14ac:dyDescent="0.25">
      <c r="B466" s="822"/>
      <c r="C466" s="854"/>
      <c r="D466" s="758" t="s">
        <v>178</v>
      </c>
      <c r="E466" s="759"/>
      <c r="F466" s="27"/>
      <c r="G466" s="58"/>
      <c r="H466" s="27"/>
      <c r="I466" s="27"/>
      <c r="J466" s="29"/>
    </row>
    <row r="467" spans="2:10" ht="24" customHeight="1" x14ac:dyDescent="0.25">
      <c r="B467" s="60"/>
      <c r="C467" s="61"/>
      <c r="D467" s="780" t="str">
        <f>CENIK_št_1!B63</f>
        <v>Tovorno vozilo do 15 t sdm z nadgradnjo za črpanje greznic</v>
      </c>
      <c r="E467" s="781"/>
      <c r="F467" s="27">
        <v>2.2000000000000002</v>
      </c>
      <c r="G467" s="28">
        <f>CENIK_št_1!K63</f>
        <v>55.92341330898708</v>
      </c>
      <c r="H467" s="27"/>
      <c r="I467" s="27"/>
      <c r="J467" s="29">
        <f>F467*G467</f>
        <v>123.03150927977158</v>
      </c>
    </row>
    <row r="468" spans="2:10" ht="15.75" thickBot="1" x14ac:dyDescent="0.3">
      <c r="B468" s="60"/>
      <c r="C468" s="61"/>
      <c r="D468" s="342"/>
      <c r="E468" s="381" t="s">
        <v>346</v>
      </c>
      <c r="F468" s="27">
        <v>2.8</v>
      </c>
      <c r="G468" s="28">
        <f>CENIK_št_1!K32</f>
        <v>20.747507542833958</v>
      </c>
      <c r="H468" s="27"/>
      <c r="I468" s="27"/>
      <c r="J468" s="29">
        <f>F468*G468</f>
        <v>58.093021119935081</v>
      </c>
    </row>
    <row r="469" spans="2:10" ht="15.75" thickBot="1" x14ac:dyDescent="0.3">
      <c r="B469" s="772"/>
      <c r="C469" s="773"/>
      <c r="D469" s="754" t="s">
        <v>257</v>
      </c>
      <c r="E469" s="774"/>
      <c r="F469" s="26"/>
      <c r="G469" s="66"/>
      <c r="H469" s="26"/>
      <c r="I469" s="26">
        <v>1</v>
      </c>
      <c r="J469" s="56">
        <f>SUM(J467:J468)</f>
        <v>181.12453039970666</v>
      </c>
    </row>
    <row r="470" spans="2:10" ht="15.75" thickBot="1" x14ac:dyDescent="0.3">
      <c r="B470" s="199"/>
      <c r="C470" s="199"/>
      <c r="D470" s="200"/>
      <c r="E470" s="200"/>
      <c r="F470" s="201"/>
      <c r="G470" s="202"/>
      <c r="H470" s="201"/>
      <c r="I470" s="201"/>
      <c r="J470" s="203"/>
    </row>
    <row r="471" spans="2:10" ht="15.75" thickBot="1" x14ac:dyDescent="0.3">
      <c r="B471" s="663" t="s">
        <v>160</v>
      </c>
      <c r="C471" s="665"/>
      <c r="D471" s="667" t="s">
        <v>152</v>
      </c>
      <c r="E471" s="668"/>
      <c r="F471" s="668"/>
      <c r="G471" s="668"/>
      <c r="H471" s="668"/>
      <c r="I471" s="668"/>
      <c r="J471" s="669"/>
    </row>
    <row r="472" spans="2:10" ht="23.25" thickBot="1" x14ac:dyDescent="0.3">
      <c r="B472" s="755" t="s">
        <v>37</v>
      </c>
      <c r="C472" s="786"/>
      <c r="D472" s="800" t="s">
        <v>38</v>
      </c>
      <c r="E472" s="801"/>
      <c r="F472" s="54" t="s">
        <v>177</v>
      </c>
      <c r="G472" s="54" t="s">
        <v>165</v>
      </c>
      <c r="H472" s="54" t="s">
        <v>183</v>
      </c>
      <c r="I472" s="67" t="s">
        <v>197</v>
      </c>
      <c r="J472" s="55" t="s">
        <v>42</v>
      </c>
    </row>
    <row r="473" spans="2:10" ht="24" customHeight="1" x14ac:dyDescent="0.25">
      <c r="B473" s="789" t="s">
        <v>501</v>
      </c>
      <c r="C473" s="790"/>
      <c r="D473" s="899" t="s">
        <v>502</v>
      </c>
      <c r="E473" s="900"/>
      <c r="F473" s="82"/>
      <c r="G473" s="82"/>
      <c r="H473" s="82"/>
      <c r="I473" s="82"/>
      <c r="J473" s="83"/>
    </row>
    <row r="474" spans="2:10" ht="15" customHeight="1" x14ac:dyDescent="0.25">
      <c r="B474" s="822"/>
      <c r="C474" s="854"/>
      <c r="D474" s="758" t="s">
        <v>178</v>
      </c>
      <c r="E474" s="759"/>
      <c r="F474" s="27"/>
      <c r="G474" s="58"/>
      <c r="H474" s="27"/>
      <c r="I474" s="27"/>
      <c r="J474" s="29"/>
    </row>
    <row r="475" spans="2:10" x14ac:dyDescent="0.25">
      <c r="B475" s="60"/>
      <c r="C475" s="61"/>
      <c r="D475" s="342"/>
      <c r="E475" s="343" t="s">
        <v>503</v>
      </c>
      <c r="F475" s="27">
        <v>16</v>
      </c>
      <c r="G475" s="28">
        <f>CENIK_št_1!K32</f>
        <v>20.747507542833958</v>
      </c>
      <c r="H475" s="27"/>
      <c r="I475" s="27"/>
      <c r="J475" s="29">
        <f>F475*G475</f>
        <v>331.96012068534333</v>
      </c>
    </row>
    <row r="476" spans="2:10" ht="15.75" thickBot="1" x14ac:dyDescent="0.3">
      <c r="B476" s="60"/>
      <c r="C476" s="61"/>
      <c r="D476" s="342"/>
      <c r="E476" s="381" t="s">
        <v>504</v>
      </c>
      <c r="F476" s="27">
        <v>8</v>
      </c>
      <c r="G476" s="28">
        <f>CENIK_št_1!K54</f>
        <v>33.810121642320418</v>
      </c>
      <c r="H476" s="27"/>
      <c r="I476" s="27"/>
      <c r="J476" s="29">
        <f>F476*G476</f>
        <v>270.48097313856334</v>
      </c>
    </row>
    <row r="477" spans="2:10" ht="15.75" thickBot="1" x14ac:dyDescent="0.3">
      <c r="B477" s="772"/>
      <c r="C477" s="773"/>
      <c r="D477" s="754" t="s">
        <v>257</v>
      </c>
      <c r="E477" s="774"/>
      <c r="F477" s="26"/>
      <c r="G477" s="66"/>
      <c r="H477" s="26"/>
      <c r="I477" s="26">
        <v>1</v>
      </c>
      <c r="J477" s="56">
        <f>SUM(J475:J476)</f>
        <v>602.44109382390661</v>
      </c>
    </row>
    <row r="478" spans="2:10" ht="15.75" thickBot="1" x14ac:dyDescent="0.3"/>
    <row r="479" spans="2:10" ht="15.75" thickBot="1" x14ac:dyDescent="0.3">
      <c r="B479" s="663" t="s">
        <v>160</v>
      </c>
      <c r="C479" s="665"/>
      <c r="D479" s="667" t="s">
        <v>152</v>
      </c>
      <c r="E479" s="668"/>
      <c r="F479" s="668"/>
      <c r="G479" s="668"/>
      <c r="H479" s="668"/>
      <c r="I479" s="668"/>
      <c r="J479" s="669"/>
    </row>
    <row r="480" spans="2:10" ht="23.25" thickBot="1" x14ac:dyDescent="0.3">
      <c r="B480" s="755" t="s">
        <v>37</v>
      </c>
      <c r="C480" s="786"/>
      <c r="D480" s="800" t="s">
        <v>38</v>
      </c>
      <c r="E480" s="801"/>
      <c r="F480" s="54" t="s">
        <v>177</v>
      </c>
      <c r="G480" s="54" t="s">
        <v>165</v>
      </c>
      <c r="H480" s="54" t="s">
        <v>183</v>
      </c>
      <c r="I480" s="67" t="s">
        <v>197</v>
      </c>
      <c r="J480" s="55" t="s">
        <v>42</v>
      </c>
    </row>
    <row r="481" spans="2:10" ht="26.25" customHeight="1" x14ac:dyDescent="0.25">
      <c r="B481" s="789" t="s">
        <v>505</v>
      </c>
      <c r="C481" s="790"/>
      <c r="D481" s="901" t="s">
        <v>508</v>
      </c>
      <c r="E481" s="902"/>
      <c r="F481" s="82"/>
      <c r="G481" s="82"/>
      <c r="H481" s="82"/>
      <c r="I481" s="82"/>
      <c r="J481" s="83"/>
    </row>
    <row r="482" spans="2:10" ht="15" customHeight="1" x14ac:dyDescent="0.25">
      <c r="B482" s="822"/>
      <c r="C482" s="854"/>
      <c r="D482" s="758" t="s">
        <v>178</v>
      </c>
      <c r="E482" s="759"/>
      <c r="F482" s="27"/>
      <c r="G482" s="58"/>
      <c r="H482" s="27"/>
      <c r="I482" s="27"/>
      <c r="J482" s="29"/>
    </row>
    <row r="483" spans="2:10" x14ac:dyDescent="0.25">
      <c r="B483" s="60"/>
      <c r="C483" s="61"/>
      <c r="D483" s="342"/>
      <c r="E483" s="343" t="str">
        <f>CENIK_št_1!B61</f>
        <v>Tovorno vozilo kanaljet</v>
      </c>
      <c r="F483" s="27">
        <v>375</v>
      </c>
      <c r="G483" s="28">
        <f>CENIK_št_1!K61</f>
        <v>96.600996642320411</v>
      </c>
      <c r="H483" s="27"/>
      <c r="I483" s="27"/>
      <c r="J483" s="29">
        <f>F483*G483</f>
        <v>36225.373740870156</v>
      </c>
    </row>
    <row r="484" spans="2:10" ht="15" customHeight="1" thickBot="1" x14ac:dyDescent="0.3">
      <c r="B484" s="60"/>
      <c r="C484" s="61"/>
      <c r="D484" s="903" t="str">
        <f>CENIK_št_1!B32</f>
        <v xml:space="preserve">Komunalni delavec </v>
      </c>
      <c r="E484" s="767"/>
      <c r="F484" s="27">
        <v>375</v>
      </c>
      <c r="G484" s="28">
        <f>CENIK_št_1!K32</f>
        <v>20.747507542833958</v>
      </c>
      <c r="H484" s="27"/>
      <c r="I484" s="27"/>
      <c r="J484" s="29">
        <f>F484*G484</f>
        <v>7780.3153285627341</v>
      </c>
    </row>
    <row r="485" spans="2:10" ht="15" customHeight="1" thickBot="1" x14ac:dyDescent="0.3">
      <c r="B485" s="772"/>
      <c r="C485" s="773"/>
      <c r="D485" s="754" t="s">
        <v>257</v>
      </c>
      <c r="E485" s="774"/>
      <c r="F485" s="26">
        <v>1425</v>
      </c>
      <c r="G485" s="66"/>
      <c r="H485" s="26"/>
      <c r="I485" s="26">
        <v>1</v>
      </c>
      <c r="J485" s="56">
        <f>SUM(J483:J484)/F485</f>
        <v>30.881185311882732</v>
      </c>
    </row>
    <row r="486" spans="2:10" ht="15" customHeight="1" thickBot="1" x14ac:dyDescent="0.3"/>
    <row r="487" spans="2:10" ht="15" customHeight="1" thickBot="1" x14ac:dyDescent="0.3">
      <c r="B487" s="663" t="s">
        <v>160</v>
      </c>
      <c r="C487" s="665"/>
      <c r="D487" s="667" t="s">
        <v>152</v>
      </c>
      <c r="E487" s="668"/>
      <c r="F487" s="668"/>
      <c r="G487" s="668"/>
      <c r="H487" s="668"/>
      <c r="I487" s="668"/>
      <c r="J487" s="669"/>
    </row>
    <row r="488" spans="2:10" ht="15" customHeight="1" thickBot="1" x14ac:dyDescent="0.3">
      <c r="B488" s="755" t="s">
        <v>37</v>
      </c>
      <c r="C488" s="786"/>
      <c r="D488" s="800" t="s">
        <v>38</v>
      </c>
      <c r="E488" s="801"/>
      <c r="F488" s="54" t="s">
        <v>177</v>
      </c>
      <c r="G488" s="54" t="s">
        <v>165</v>
      </c>
      <c r="H488" s="54" t="s">
        <v>183</v>
      </c>
      <c r="I488" s="67" t="s">
        <v>197</v>
      </c>
      <c r="J488" s="55" t="s">
        <v>42</v>
      </c>
    </row>
    <row r="489" spans="2:10" ht="38.25" customHeight="1" x14ac:dyDescent="0.25">
      <c r="B489" s="789" t="s">
        <v>506</v>
      </c>
      <c r="C489" s="790"/>
      <c r="D489" s="899" t="s">
        <v>509</v>
      </c>
      <c r="E489" s="900"/>
      <c r="F489" s="82"/>
      <c r="G489" s="82"/>
      <c r="H489" s="82"/>
      <c r="I489" s="82"/>
      <c r="J489" s="83"/>
    </row>
    <row r="490" spans="2:10" x14ac:dyDescent="0.25">
      <c r="B490" s="822"/>
      <c r="C490" s="854"/>
      <c r="D490" s="758" t="s">
        <v>178</v>
      </c>
      <c r="E490" s="759"/>
      <c r="F490" s="27"/>
      <c r="G490" s="58"/>
      <c r="H490" s="27"/>
      <c r="I490" s="27"/>
      <c r="J490" s="29"/>
    </row>
    <row r="491" spans="2:10" ht="15" customHeight="1" x14ac:dyDescent="0.25">
      <c r="B491" s="60"/>
      <c r="C491" s="61"/>
      <c r="D491" s="342"/>
      <c r="E491" s="391" t="str">
        <f>CENIK_št_1!B32</f>
        <v xml:space="preserve">Komunalni delavec </v>
      </c>
      <c r="F491" s="27">
        <v>16</v>
      </c>
      <c r="G491" s="28">
        <f>CENIK_št_1!K32</f>
        <v>20.747507542833958</v>
      </c>
      <c r="H491" s="27"/>
      <c r="I491" s="27"/>
      <c r="J491" s="29">
        <f>F491*G491</f>
        <v>331.96012068534333</v>
      </c>
    </row>
    <row r="492" spans="2:10" ht="15" customHeight="1" thickBot="1" x14ac:dyDescent="0.3">
      <c r="B492" s="60"/>
      <c r="C492" s="61"/>
      <c r="D492" s="447"/>
      <c r="E492" s="446" t="str">
        <f>CENIK_št_1!B54</f>
        <v>Tovorno vozilo do 3,5 t sdm</v>
      </c>
      <c r="F492" s="27">
        <v>8</v>
      </c>
      <c r="G492" s="28">
        <f>CENIK_št_1!K54</f>
        <v>33.810121642320418</v>
      </c>
      <c r="H492" s="27"/>
      <c r="I492" s="27"/>
      <c r="J492" s="29">
        <f>F492*G492</f>
        <v>270.48097313856334</v>
      </c>
    </row>
    <row r="493" spans="2:10" ht="15" customHeight="1" thickBot="1" x14ac:dyDescent="0.3">
      <c r="B493" s="772"/>
      <c r="C493" s="773"/>
      <c r="D493" s="754" t="s">
        <v>257</v>
      </c>
      <c r="E493" s="774"/>
      <c r="F493" s="26"/>
      <c r="G493" s="66"/>
      <c r="H493" s="26"/>
      <c r="I493" s="26">
        <v>1</v>
      </c>
      <c r="J493" s="56">
        <f>SUM(J491:J492)</f>
        <v>602.44109382390661</v>
      </c>
    </row>
    <row r="494" spans="2:10" ht="15.75" customHeight="1" x14ac:dyDescent="0.25"/>
  </sheetData>
  <sheetProtection selectLockedCells="1" selectUnlockedCells="1"/>
  <mergeCells count="567">
    <mergeCell ref="K4:K48"/>
    <mergeCell ref="D240:J240"/>
    <mergeCell ref="B241:C241"/>
    <mergeCell ref="D241:E241"/>
    <mergeCell ref="B242:C242"/>
    <mergeCell ref="D242:E242"/>
    <mergeCell ref="B243:C243"/>
    <mergeCell ref="B438:C438"/>
    <mergeCell ref="D438:E438"/>
    <mergeCell ref="B405:C405"/>
    <mergeCell ref="D405:J405"/>
    <mergeCell ref="B406:C406"/>
    <mergeCell ref="D406:E406"/>
    <mergeCell ref="B407:C407"/>
    <mergeCell ref="D407:E407"/>
    <mergeCell ref="D297:E297"/>
    <mergeCell ref="B298:C298"/>
    <mergeCell ref="D298:E298"/>
    <mergeCell ref="B225:C225"/>
    <mergeCell ref="D19:J19"/>
    <mergeCell ref="B20:C20"/>
    <mergeCell ref="D20:E20"/>
    <mergeCell ref="B21:C21"/>
    <mergeCell ref="D58:E58"/>
    <mergeCell ref="B2:J2"/>
    <mergeCell ref="B339:C339"/>
    <mergeCell ref="D339:J339"/>
    <mergeCell ref="B340:C340"/>
    <mergeCell ref="D340:E340"/>
    <mergeCell ref="B341:C341"/>
    <mergeCell ref="D341:E341"/>
    <mergeCell ref="B342:C342"/>
    <mergeCell ref="D342:E342"/>
    <mergeCell ref="D299:E299"/>
    <mergeCell ref="D217:E217"/>
    <mergeCell ref="D218:E218"/>
    <mergeCell ref="D220:E220"/>
    <mergeCell ref="D221:E221"/>
    <mergeCell ref="D300:E300"/>
    <mergeCell ref="D301:E301"/>
    <mergeCell ref="D302:E302"/>
    <mergeCell ref="B304:C304"/>
    <mergeCell ref="D304:E304"/>
    <mergeCell ref="B295:C295"/>
    <mergeCell ref="D295:J295"/>
    <mergeCell ref="B296:C296"/>
    <mergeCell ref="D296:E296"/>
    <mergeCell ref="B297:C297"/>
    <mergeCell ref="B152:C152"/>
    <mergeCell ref="D152:E152"/>
    <mergeCell ref="B153:C153"/>
    <mergeCell ref="D153:E153"/>
    <mergeCell ref="D155:E155"/>
    <mergeCell ref="D10:E10"/>
    <mergeCell ref="D4:J4"/>
    <mergeCell ref="B4:C4"/>
    <mergeCell ref="B5:C5"/>
    <mergeCell ref="D5:E5"/>
    <mergeCell ref="B6:C6"/>
    <mergeCell ref="D6:E6"/>
    <mergeCell ref="B7:C7"/>
    <mergeCell ref="D7:E7"/>
    <mergeCell ref="B9:C9"/>
    <mergeCell ref="D9:E9"/>
    <mergeCell ref="D8:E8"/>
    <mergeCell ref="B12:C12"/>
    <mergeCell ref="D12:E12"/>
    <mergeCell ref="B16:C16"/>
    <mergeCell ref="D16:E16"/>
    <mergeCell ref="B17:C17"/>
    <mergeCell ref="D17:E17"/>
    <mergeCell ref="B19:C19"/>
    <mergeCell ref="B150:C150"/>
    <mergeCell ref="D150:J150"/>
    <mergeCell ref="B151:C151"/>
    <mergeCell ref="D151:E151"/>
    <mergeCell ref="D138:E138"/>
    <mergeCell ref="D139:E139"/>
    <mergeCell ref="D140:E140"/>
    <mergeCell ref="B141:C141"/>
    <mergeCell ref="D141:E141"/>
    <mergeCell ref="D142:E142"/>
    <mergeCell ref="D143:E143"/>
    <mergeCell ref="D144:E144"/>
    <mergeCell ref="B145:C145"/>
    <mergeCell ref="D145:E145"/>
    <mergeCell ref="B119:C119"/>
    <mergeCell ref="D119:J119"/>
    <mergeCell ref="B120:C120"/>
    <mergeCell ref="D120:E120"/>
    <mergeCell ref="B98:C98"/>
    <mergeCell ref="D98:E98"/>
    <mergeCell ref="B99:C99"/>
    <mergeCell ref="D99:E99"/>
    <mergeCell ref="D101:E101"/>
    <mergeCell ref="B104:C104"/>
    <mergeCell ref="D104:E104"/>
    <mergeCell ref="B102:C102"/>
    <mergeCell ref="D102:E102"/>
    <mergeCell ref="D103:E103"/>
    <mergeCell ref="B106:C106"/>
    <mergeCell ref="D106:J106"/>
    <mergeCell ref="B107:C107"/>
    <mergeCell ref="D107:E107"/>
    <mergeCell ref="D100:E100"/>
    <mergeCell ref="B108:C108"/>
    <mergeCell ref="D108:E108"/>
    <mergeCell ref="B109:C109"/>
    <mergeCell ref="D109:E109"/>
    <mergeCell ref="D111:E111"/>
    <mergeCell ref="D358:E358"/>
    <mergeCell ref="D359:E359"/>
    <mergeCell ref="B361:C361"/>
    <mergeCell ref="D156:E156"/>
    <mergeCell ref="D157:E157"/>
    <mergeCell ref="B160:C160"/>
    <mergeCell ref="D160:E160"/>
    <mergeCell ref="B175:C175"/>
    <mergeCell ref="D175:E175"/>
    <mergeCell ref="D174:E174"/>
    <mergeCell ref="B168:C168"/>
    <mergeCell ref="D168:E168"/>
    <mergeCell ref="D169:E169"/>
    <mergeCell ref="D171:E171"/>
    <mergeCell ref="B158:C158"/>
    <mergeCell ref="D158:E158"/>
    <mergeCell ref="D159:E159"/>
    <mergeCell ref="B167:C167"/>
    <mergeCell ref="D167:E167"/>
    <mergeCell ref="B165:C165"/>
    <mergeCell ref="D165:J165"/>
    <mergeCell ref="B166:C166"/>
    <mergeCell ref="D166:E166"/>
    <mergeCell ref="B188:C188"/>
    <mergeCell ref="B28:C28"/>
    <mergeCell ref="D28:E28"/>
    <mergeCell ref="B428:C428"/>
    <mergeCell ref="D411:E411"/>
    <mergeCell ref="B418:C418"/>
    <mergeCell ref="B419:C419"/>
    <mergeCell ref="D419:E419"/>
    <mergeCell ref="B414:C414"/>
    <mergeCell ref="D414:E414"/>
    <mergeCell ref="D412:E412"/>
    <mergeCell ref="D422:E422"/>
    <mergeCell ref="B416:C416"/>
    <mergeCell ref="D416:J416"/>
    <mergeCell ref="B417:C417"/>
    <mergeCell ref="D417:E417"/>
    <mergeCell ref="D418:E418"/>
    <mergeCell ref="B408:C408"/>
    <mergeCell ref="D408:E408"/>
    <mergeCell ref="D344:E344"/>
    <mergeCell ref="D345:E345"/>
    <mergeCell ref="D347:E347"/>
    <mergeCell ref="B349:C349"/>
    <mergeCell ref="D349:E349"/>
    <mergeCell ref="D346:E346"/>
    <mergeCell ref="D24:E24"/>
    <mergeCell ref="D25:E25"/>
    <mergeCell ref="D21:E21"/>
    <mergeCell ref="B22:C22"/>
    <mergeCell ref="D22:E22"/>
    <mergeCell ref="D23:E23"/>
    <mergeCell ref="B26:C26"/>
    <mergeCell ref="D26:E26"/>
    <mergeCell ref="D27:E27"/>
    <mergeCell ref="D38:E38"/>
    <mergeCell ref="D39:E39"/>
    <mergeCell ref="B40:C40"/>
    <mergeCell ref="D40:E40"/>
    <mergeCell ref="D41:E41"/>
    <mergeCell ref="B42:C42"/>
    <mergeCell ref="D42:E42"/>
    <mergeCell ref="B30:C30"/>
    <mergeCell ref="D30:E30"/>
    <mergeCell ref="B31:C31"/>
    <mergeCell ref="D31:E31"/>
    <mergeCell ref="B33:C33"/>
    <mergeCell ref="D33:J33"/>
    <mergeCell ref="B34:C34"/>
    <mergeCell ref="D34:E34"/>
    <mergeCell ref="B35:C35"/>
    <mergeCell ref="D35:E35"/>
    <mergeCell ref="B36:C36"/>
    <mergeCell ref="D36:E36"/>
    <mergeCell ref="D37:E37"/>
    <mergeCell ref="B44:C44"/>
    <mergeCell ref="D44:E44"/>
    <mergeCell ref="B45:C45"/>
    <mergeCell ref="D45:E45"/>
    <mergeCell ref="D54:E54"/>
    <mergeCell ref="D55:E55"/>
    <mergeCell ref="B62:C62"/>
    <mergeCell ref="D62:J62"/>
    <mergeCell ref="D50:J50"/>
    <mergeCell ref="B60:C60"/>
    <mergeCell ref="D60:E60"/>
    <mergeCell ref="B50:C50"/>
    <mergeCell ref="B51:C51"/>
    <mergeCell ref="D51:E51"/>
    <mergeCell ref="B52:C52"/>
    <mergeCell ref="D52:E52"/>
    <mergeCell ref="B53:C53"/>
    <mergeCell ref="D53:E53"/>
    <mergeCell ref="B57:C57"/>
    <mergeCell ref="D57:E57"/>
    <mergeCell ref="B63:C63"/>
    <mergeCell ref="D63:E63"/>
    <mergeCell ref="B64:C64"/>
    <mergeCell ref="D64:E64"/>
    <mergeCell ref="B65:C65"/>
    <mergeCell ref="D65:E65"/>
    <mergeCell ref="D66:E66"/>
    <mergeCell ref="D67:E67"/>
    <mergeCell ref="B69:C69"/>
    <mergeCell ref="D69:E69"/>
    <mergeCell ref="D70:E70"/>
    <mergeCell ref="B73:C73"/>
    <mergeCell ref="D73:E73"/>
    <mergeCell ref="D68:E68"/>
    <mergeCell ref="D72:E72"/>
    <mergeCell ref="D71:E71"/>
    <mergeCell ref="B75:C75"/>
    <mergeCell ref="D75:J75"/>
    <mergeCell ref="B76:C76"/>
    <mergeCell ref="D76:E76"/>
    <mergeCell ref="B77:C77"/>
    <mergeCell ref="D77:E77"/>
    <mergeCell ref="B78:C78"/>
    <mergeCell ref="D78:E78"/>
    <mergeCell ref="D79:E79"/>
    <mergeCell ref="D80:E80"/>
    <mergeCell ref="D81:E81"/>
    <mergeCell ref="B82:C82"/>
    <mergeCell ref="D82:E82"/>
    <mergeCell ref="D83:E83"/>
    <mergeCell ref="D84:E84"/>
    <mergeCell ref="D85:E85"/>
    <mergeCell ref="B86:C86"/>
    <mergeCell ref="D86:E86"/>
    <mergeCell ref="B96:C96"/>
    <mergeCell ref="D96:J96"/>
    <mergeCell ref="B97:C97"/>
    <mergeCell ref="D97:E97"/>
    <mergeCell ref="B94:C94"/>
    <mergeCell ref="D94:E94"/>
    <mergeCell ref="B92:C92"/>
    <mergeCell ref="D92:E92"/>
    <mergeCell ref="D93:E93"/>
    <mergeCell ref="B89:C89"/>
    <mergeCell ref="D89:J89"/>
    <mergeCell ref="B90:C90"/>
    <mergeCell ref="D90:E90"/>
    <mergeCell ref="B91:C91"/>
    <mergeCell ref="D91:E91"/>
    <mergeCell ref="B135:C135"/>
    <mergeCell ref="D135:E135"/>
    <mergeCell ref="B136:C136"/>
    <mergeCell ref="D136:E136"/>
    <mergeCell ref="B121:C121"/>
    <mergeCell ref="D121:E121"/>
    <mergeCell ref="B122:C122"/>
    <mergeCell ref="D122:E122"/>
    <mergeCell ref="D124:E124"/>
    <mergeCell ref="B131:C131"/>
    <mergeCell ref="D131:E131"/>
    <mergeCell ref="D125:E125"/>
    <mergeCell ref="D126:E126"/>
    <mergeCell ref="B127:C127"/>
    <mergeCell ref="D127:E127"/>
    <mergeCell ref="D128:E128"/>
    <mergeCell ref="D129:E129"/>
    <mergeCell ref="D130:E130"/>
    <mergeCell ref="B112:C112"/>
    <mergeCell ref="D112:E112"/>
    <mergeCell ref="D113:E113"/>
    <mergeCell ref="B114:C114"/>
    <mergeCell ref="D114:E114"/>
    <mergeCell ref="D110:E110"/>
    <mergeCell ref="D181:E181"/>
    <mergeCell ref="D183:E183"/>
    <mergeCell ref="B186:C186"/>
    <mergeCell ref="D186:E186"/>
    <mergeCell ref="D182:E182"/>
    <mergeCell ref="D184:E184"/>
    <mergeCell ref="B177:C177"/>
    <mergeCell ref="D177:J177"/>
    <mergeCell ref="B178:C178"/>
    <mergeCell ref="D178:E178"/>
    <mergeCell ref="B179:C179"/>
    <mergeCell ref="D179:E179"/>
    <mergeCell ref="B180:C180"/>
    <mergeCell ref="D180:E180"/>
    <mergeCell ref="B133:C133"/>
    <mergeCell ref="D133:J133"/>
    <mergeCell ref="B134:C134"/>
    <mergeCell ref="D134:E134"/>
    <mergeCell ref="D188:J188"/>
    <mergeCell ref="B189:C189"/>
    <mergeCell ref="D189:E189"/>
    <mergeCell ref="B190:C190"/>
    <mergeCell ref="D190:E190"/>
    <mergeCell ref="B191:C191"/>
    <mergeCell ref="D191:E191"/>
    <mergeCell ref="D192:E192"/>
    <mergeCell ref="D193:E193"/>
    <mergeCell ref="D194:E194"/>
    <mergeCell ref="D195:E195"/>
    <mergeCell ref="B197:C197"/>
    <mergeCell ref="D197:E197"/>
    <mergeCell ref="B199:C199"/>
    <mergeCell ref="D199:J199"/>
    <mergeCell ref="B200:C200"/>
    <mergeCell ref="D200:E200"/>
    <mergeCell ref="D231:E231"/>
    <mergeCell ref="B227:C227"/>
    <mergeCell ref="D227:J227"/>
    <mergeCell ref="B228:C228"/>
    <mergeCell ref="D228:E228"/>
    <mergeCell ref="B229:C229"/>
    <mergeCell ref="D229:E229"/>
    <mergeCell ref="B230:C230"/>
    <mergeCell ref="D230:E230"/>
    <mergeCell ref="D225:E225"/>
    <mergeCell ref="D233:E233"/>
    <mergeCell ref="D234:E234"/>
    <mergeCell ref="D237:E237"/>
    <mergeCell ref="B238:C238"/>
    <mergeCell ref="D238:E238"/>
    <mergeCell ref="B240:C240"/>
    <mergeCell ref="B201:C201"/>
    <mergeCell ref="D201:E201"/>
    <mergeCell ref="B202:C202"/>
    <mergeCell ref="D202:E202"/>
    <mergeCell ref="D203:E203"/>
    <mergeCell ref="D204:E204"/>
    <mergeCell ref="D205:E205"/>
    <mergeCell ref="D206:E206"/>
    <mergeCell ref="B209:C209"/>
    <mergeCell ref="D209:E209"/>
    <mergeCell ref="B214:C214"/>
    <mergeCell ref="D214:J214"/>
    <mergeCell ref="B215:C215"/>
    <mergeCell ref="D215:E215"/>
    <mergeCell ref="B216:C216"/>
    <mergeCell ref="D216:E216"/>
    <mergeCell ref="B217:C217"/>
    <mergeCell ref="D224:E224"/>
    <mergeCell ref="D243:E243"/>
    <mergeCell ref="D244:E244"/>
    <mergeCell ref="D246:E246"/>
    <mergeCell ref="D247:E247"/>
    <mergeCell ref="D251:E251"/>
    <mergeCell ref="B252:C252"/>
    <mergeCell ref="D252:E252"/>
    <mergeCell ref="B255:C255"/>
    <mergeCell ref="D255:J255"/>
    <mergeCell ref="D265:E265"/>
    <mergeCell ref="B256:C256"/>
    <mergeCell ref="D256:E256"/>
    <mergeCell ref="B257:C257"/>
    <mergeCell ref="D257:E257"/>
    <mergeCell ref="B258:C258"/>
    <mergeCell ref="D258:E258"/>
    <mergeCell ref="D259:E259"/>
    <mergeCell ref="D261:E261"/>
    <mergeCell ref="D262:E262"/>
    <mergeCell ref="D281:J281"/>
    <mergeCell ref="B282:C282"/>
    <mergeCell ref="D282:E282"/>
    <mergeCell ref="B283:C283"/>
    <mergeCell ref="D283:E283"/>
    <mergeCell ref="B284:C284"/>
    <mergeCell ref="D284:E284"/>
    <mergeCell ref="D285:E285"/>
    <mergeCell ref="B266:C266"/>
    <mergeCell ref="D266:E266"/>
    <mergeCell ref="B354:C354"/>
    <mergeCell ref="D354:E354"/>
    <mergeCell ref="D356:E356"/>
    <mergeCell ref="D357:E357"/>
    <mergeCell ref="B306:C306"/>
    <mergeCell ref="D306:J306"/>
    <mergeCell ref="B307:C307"/>
    <mergeCell ref="D307:E307"/>
    <mergeCell ref="B268:C268"/>
    <mergeCell ref="D268:J268"/>
    <mergeCell ref="B269:C269"/>
    <mergeCell ref="D269:E269"/>
    <mergeCell ref="B270:C270"/>
    <mergeCell ref="D270:E270"/>
    <mergeCell ref="B271:C271"/>
    <mergeCell ref="D271:E271"/>
    <mergeCell ref="D272:E272"/>
    <mergeCell ref="D274:E274"/>
    <mergeCell ref="D275:E275"/>
    <mergeCell ref="D278:E278"/>
    <mergeCell ref="B279:C279"/>
    <mergeCell ref="D279:E279"/>
    <mergeCell ref="D293:E293"/>
    <mergeCell ref="B281:C281"/>
    <mergeCell ref="D287:E287"/>
    <mergeCell ref="D288:E288"/>
    <mergeCell ref="D292:E292"/>
    <mergeCell ref="B293:C293"/>
    <mergeCell ref="B351:C351"/>
    <mergeCell ref="D351:J351"/>
    <mergeCell ref="B352:C352"/>
    <mergeCell ref="D352:E352"/>
    <mergeCell ref="B353:C353"/>
    <mergeCell ref="D353:E353"/>
    <mergeCell ref="B308:C308"/>
    <mergeCell ref="D308:E308"/>
    <mergeCell ref="B309:C309"/>
    <mergeCell ref="D309:E309"/>
    <mergeCell ref="D310:E310"/>
    <mergeCell ref="D312:E312"/>
    <mergeCell ref="D313:E313"/>
    <mergeCell ref="B314:C314"/>
    <mergeCell ref="D314:E314"/>
    <mergeCell ref="D311:E311"/>
    <mergeCell ref="B316:C316"/>
    <mergeCell ref="D316:J316"/>
    <mergeCell ref="B317:C317"/>
    <mergeCell ref="D317:E317"/>
    <mergeCell ref="B376:C376"/>
    <mergeCell ref="D376:J376"/>
    <mergeCell ref="D361:E361"/>
    <mergeCell ref="B363:C363"/>
    <mergeCell ref="D363:J363"/>
    <mergeCell ref="B364:C364"/>
    <mergeCell ref="D364:E364"/>
    <mergeCell ref="B365:C365"/>
    <mergeCell ref="D365:E365"/>
    <mergeCell ref="B366:C366"/>
    <mergeCell ref="D366:E366"/>
    <mergeCell ref="D368:E368"/>
    <mergeCell ref="D371:E371"/>
    <mergeCell ref="D372:E372"/>
    <mergeCell ref="B374:C374"/>
    <mergeCell ref="D374:E374"/>
    <mergeCell ref="D370:E370"/>
    <mergeCell ref="B385:C385"/>
    <mergeCell ref="D385:E385"/>
    <mergeCell ref="B387:C387"/>
    <mergeCell ref="D387:J387"/>
    <mergeCell ref="B388:C388"/>
    <mergeCell ref="D388:E388"/>
    <mergeCell ref="B389:C389"/>
    <mergeCell ref="D389:E389"/>
    <mergeCell ref="B377:C377"/>
    <mergeCell ref="D377:E377"/>
    <mergeCell ref="B378:C378"/>
    <mergeCell ref="D378:E378"/>
    <mergeCell ref="B379:C379"/>
    <mergeCell ref="D379:E379"/>
    <mergeCell ref="D381:E381"/>
    <mergeCell ref="D382:E382"/>
    <mergeCell ref="D383:E383"/>
    <mergeCell ref="D428:J428"/>
    <mergeCell ref="B429:C429"/>
    <mergeCell ref="D429:E429"/>
    <mergeCell ref="B430:C430"/>
    <mergeCell ref="D430:E430"/>
    <mergeCell ref="B431:C431"/>
    <mergeCell ref="D431:E431"/>
    <mergeCell ref="B390:C390"/>
    <mergeCell ref="D390:E390"/>
    <mergeCell ref="D392:E392"/>
    <mergeCell ref="D394:E394"/>
    <mergeCell ref="D396:E396"/>
    <mergeCell ref="D398:E398"/>
    <mergeCell ref="B400:C400"/>
    <mergeCell ref="D400:E400"/>
    <mergeCell ref="B318:C318"/>
    <mergeCell ref="D318:E318"/>
    <mergeCell ref="B319:C319"/>
    <mergeCell ref="D319:E319"/>
    <mergeCell ref="D320:E320"/>
    <mergeCell ref="D321:E321"/>
    <mergeCell ref="D322:E322"/>
    <mergeCell ref="D323:E323"/>
    <mergeCell ref="B324:C324"/>
    <mergeCell ref="D324:E324"/>
    <mergeCell ref="B326:C326"/>
    <mergeCell ref="D326:J326"/>
    <mergeCell ref="B327:C327"/>
    <mergeCell ref="D327:E327"/>
    <mergeCell ref="B463:C463"/>
    <mergeCell ref="D463:J463"/>
    <mergeCell ref="B464:C464"/>
    <mergeCell ref="D464:E464"/>
    <mergeCell ref="B465:C465"/>
    <mergeCell ref="D465:E465"/>
    <mergeCell ref="D446:E446"/>
    <mergeCell ref="B449:C449"/>
    <mergeCell ref="D449:E449"/>
    <mergeCell ref="B451:C451"/>
    <mergeCell ref="D451:J451"/>
    <mergeCell ref="B452:C452"/>
    <mergeCell ref="D452:E452"/>
    <mergeCell ref="B453:C453"/>
    <mergeCell ref="D453:E453"/>
    <mergeCell ref="D434:E434"/>
    <mergeCell ref="B440:C440"/>
    <mergeCell ref="D440:J440"/>
    <mergeCell ref="B441:C441"/>
    <mergeCell ref="D441:E441"/>
    <mergeCell ref="B466:C466"/>
    <mergeCell ref="D466:E466"/>
    <mergeCell ref="B328:C328"/>
    <mergeCell ref="D328:E328"/>
    <mergeCell ref="B329:C329"/>
    <mergeCell ref="D329:E329"/>
    <mergeCell ref="D330:E330"/>
    <mergeCell ref="D331:E331"/>
    <mergeCell ref="D332:E332"/>
    <mergeCell ref="D333:E333"/>
    <mergeCell ref="B334:C334"/>
    <mergeCell ref="D334:E334"/>
    <mergeCell ref="B454:C454"/>
    <mergeCell ref="D454:E454"/>
    <mergeCell ref="D458:E458"/>
    <mergeCell ref="B461:C461"/>
    <mergeCell ref="D461:E461"/>
    <mergeCell ref="D457:E457"/>
    <mergeCell ref="B442:C442"/>
    <mergeCell ref="D442:E442"/>
    <mergeCell ref="B443:C443"/>
    <mergeCell ref="D443:E443"/>
    <mergeCell ref="B426:C426"/>
    <mergeCell ref="D426:E426"/>
    <mergeCell ref="B477:C477"/>
    <mergeCell ref="D477:E477"/>
    <mergeCell ref="B479:C479"/>
    <mergeCell ref="D479:J479"/>
    <mergeCell ref="B480:C480"/>
    <mergeCell ref="D480:E480"/>
    <mergeCell ref="B481:C481"/>
    <mergeCell ref="D482:E482"/>
    <mergeCell ref="B469:C469"/>
    <mergeCell ref="D469:E469"/>
    <mergeCell ref="D467:E467"/>
    <mergeCell ref="B471:C471"/>
    <mergeCell ref="D471:J471"/>
    <mergeCell ref="B472:C472"/>
    <mergeCell ref="D472:E472"/>
    <mergeCell ref="B473:C473"/>
    <mergeCell ref="D473:E473"/>
    <mergeCell ref="B474:C474"/>
    <mergeCell ref="D474:E474"/>
    <mergeCell ref="B489:C489"/>
    <mergeCell ref="D489:E489"/>
    <mergeCell ref="B490:C490"/>
    <mergeCell ref="D490:E490"/>
    <mergeCell ref="B493:C493"/>
    <mergeCell ref="D493:E493"/>
    <mergeCell ref="D481:E481"/>
    <mergeCell ref="B482:C482"/>
    <mergeCell ref="B485:C485"/>
    <mergeCell ref="D485:E485"/>
    <mergeCell ref="D484:E484"/>
    <mergeCell ref="B487:C487"/>
    <mergeCell ref="D487:J487"/>
    <mergeCell ref="B488:C488"/>
    <mergeCell ref="D488:E488"/>
  </mergeCells>
  <pageMargins left="0.7" right="0.7" top="0.75" bottom="0.75" header="0.3" footer="0.3"/>
  <pageSetup paperSize="9" scale="82" fitToHeight="0" orientation="portrait" r:id="rId1"/>
  <rowBreaks count="10" manualBreakCount="10">
    <brk id="47" max="9" man="1"/>
    <brk id="116" max="9" man="1"/>
    <brk id="162" max="9" man="1"/>
    <brk id="211" max="9" man="1"/>
    <brk id="253" max="9" man="1"/>
    <brk id="294" max="9" man="1"/>
    <brk id="336" max="9" man="1"/>
    <brk id="385" max="9" man="1"/>
    <brk id="427" max="9" man="1"/>
    <brk id="470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50"/>
  <sheetViews>
    <sheetView showGridLines="0" view="pageBreakPreview" zoomScaleNormal="100" zoomScaleSheetLayoutView="100" workbookViewId="0">
      <selection activeCell="M20" sqref="M20"/>
    </sheetView>
  </sheetViews>
  <sheetFormatPr defaultRowHeight="15" x14ac:dyDescent="0.25"/>
  <cols>
    <col min="10" max="10" width="7.28515625" customWidth="1"/>
    <col min="11" max="11" width="11.42578125" customWidth="1"/>
    <col min="12" max="12" width="18.140625" customWidth="1"/>
    <col min="13" max="13" width="17.85546875" customWidth="1"/>
    <col min="14" max="14" width="17" customWidth="1"/>
    <col min="15" max="15" width="9.85546875" bestFit="1" customWidth="1"/>
  </cols>
  <sheetData>
    <row r="1" spans="1:14" x14ac:dyDescent="0.25">
      <c r="A1" s="683"/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</row>
    <row r="2" spans="1:14" x14ac:dyDescent="0.25">
      <c r="A2" s="683"/>
      <c r="B2" s="683"/>
      <c r="C2" s="683"/>
      <c r="D2" s="683"/>
      <c r="E2" s="683"/>
      <c r="F2" s="683"/>
      <c r="G2" s="683"/>
      <c r="H2" s="683"/>
      <c r="I2" s="683"/>
      <c r="J2" s="683"/>
      <c r="K2" s="683"/>
      <c r="L2" s="683"/>
      <c r="M2" s="683"/>
      <c r="N2" s="683"/>
    </row>
    <row r="3" spans="1:14" x14ac:dyDescent="0.25">
      <c r="A3" s="683"/>
      <c r="B3" s="683"/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</row>
    <row r="4" spans="1:14" x14ac:dyDescent="0.25">
      <c r="A4" s="683"/>
      <c r="B4" s="683"/>
      <c r="C4" s="683"/>
      <c r="D4" s="683"/>
      <c r="E4" s="683"/>
      <c r="F4" s="683"/>
      <c r="G4" s="683"/>
      <c r="H4" s="683"/>
      <c r="I4" s="683"/>
      <c r="J4" s="683"/>
      <c r="K4" s="683"/>
      <c r="L4" s="683"/>
      <c r="M4" s="683"/>
      <c r="N4" s="683"/>
    </row>
    <row r="5" spans="1:14" x14ac:dyDescent="0.25">
      <c r="A5" s="683"/>
      <c r="B5" s="683"/>
      <c r="C5" s="683"/>
      <c r="D5" s="683"/>
      <c r="E5" s="683"/>
      <c r="F5" s="683"/>
      <c r="G5" s="683"/>
      <c r="H5" s="683"/>
      <c r="I5" s="683"/>
      <c r="J5" s="683"/>
      <c r="K5" s="683"/>
      <c r="L5" s="683"/>
      <c r="M5" s="683"/>
      <c r="N5" s="683"/>
    </row>
    <row r="6" spans="1:14" x14ac:dyDescent="0.25">
      <c r="A6" s="683"/>
      <c r="B6" s="683"/>
      <c r="C6" s="683"/>
      <c r="D6" s="683"/>
      <c r="E6" s="683"/>
      <c r="F6" s="683"/>
      <c r="G6" s="683"/>
      <c r="H6" s="683"/>
      <c r="I6" s="683"/>
      <c r="J6" s="683"/>
      <c r="K6" s="683"/>
      <c r="L6" s="683"/>
      <c r="M6" s="683"/>
      <c r="N6" s="683"/>
    </row>
    <row r="7" spans="1:14" ht="19.5" customHeight="1" x14ac:dyDescent="0.3">
      <c r="A7" s="658" t="s">
        <v>260</v>
      </c>
      <c r="B7" s="658"/>
      <c r="C7" s="658"/>
      <c r="D7" s="658"/>
      <c r="E7" s="658"/>
      <c r="F7" s="658"/>
      <c r="G7" s="658"/>
      <c r="H7" s="658"/>
      <c r="I7" s="658"/>
      <c r="J7" s="658"/>
      <c r="K7" s="658"/>
      <c r="L7" s="658"/>
      <c r="M7" s="658"/>
      <c r="N7" s="658"/>
    </row>
    <row r="8" spans="1:14" ht="15.75" thickBot="1" x14ac:dyDescent="0.3">
      <c r="A8" s="12"/>
      <c r="B8" s="12"/>
      <c r="C8" s="12"/>
      <c r="D8" s="12"/>
      <c r="E8" s="12"/>
      <c r="F8" s="12"/>
      <c r="G8" s="13"/>
      <c r="H8" s="14"/>
      <c r="I8" s="706"/>
      <c r="J8" s="706"/>
      <c r="K8" s="15"/>
      <c r="L8" s="3"/>
    </row>
    <row r="9" spans="1:14" ht="15.75" thickBot="1" x14ac:dyDescent="0.3">
      <c r="A9" s="16" t="s">
        <v>65</v>
      </c>
      <c r="B9" s="358"/>
      <c r="C9" s="710" t="s">
        <v>2</v>
      </c>
      <c r="D9" s="711"/>
      <c r="E9" s="711"/>
      <c r="F9" s="712"/>
      <c r="G9" s="13"/>
      <c r="H9" s="14"/>
      <c r="I9" s="17"/>
      <c r="J9" s="17"/>
      <c r="K9" s="15"/>
      <c r="L9" s="3"/>
    </row>
    <row r="10" spans="1:14" x14ac:dyDescent="0.25">
      <c r="A10" s="42"/>
      <c r="B10" s="42"/>
      <c r="C10" s="43"/>
      <c r="D10" s="43"/>
      <c r="E10" s="43"/>
      <c r="F10" s="43"/>
      <c r="G10" s="13"/>
      <c r="H10" s="14"/>
      <c r="I10" s="17"/>
      <c r="J10" s="17"/>
      <c r="K10" s="15"/>
      <c r="L10" s="3"/>
    </row>
    <row r="11" spans="1:14" x14ac:dyDescent="0.25">
      <c r="A11" s="42" t="s">
        <v>4</v>
      </c>
      <c r="B11" s="42"/>
      <c r="C11" s="44" t="s">
        <v>76</v>
      </c>
      <c r="D11" s="43"/>
      <c r="E11" s="43"/>
      <c r="F11" s="43"/>
      <c r="G11" s="13"/>
      <c r="H11" s="14"/>
      <c r="I11" s="17"/>
      <c r="J11" s="17"/>
      <c r="K11" s="15"/>
      <c r="L11" s="3"/>
    </row>
    <row r="12" spans="1:14" ht="20.25" customHeight="1" x14ac:dyDescent="0.25">
      <c r="A12" s="42" t="s">
        <v>5</v>
      </c>
      <c r="B12" s="42"/>
      <c r="C12" s="44" t="s">
        <v>87</v>
      </c>
      <c r="D12" s="43"/>
      <c r="E12" s="43"/>
      <c r="F12" s="43"/>
      <c r="G12" s="13"/>
      <c r="H12" s="14"/>
      <c r="I12" s="17"/>
      <c r="J12" s="17"/>
      <c r="K12" s="15"/>
      <c r="L12" s="3"/>
    </row>
    <row r="13" spans="1:14" ht="19.5" customHeight="1" x14ac:dyDescent="0.25">
      <c r="A13" s="7" t="s">
        <v>6</v>
      </c>
      <c r="B13" s="7"/>
      <c r="C13" s="687" t="s">
        <v>3</v>
      </c>
      <c r="D13" s="687"/>
      <c r="E13" s="687"/>
      <c r="F13" s="687"/>
      <c r="G13" s="8"/>
      <c r="H13" s="9"/>
      <c r="I13" s="9"/>
      <c r="J13" s="9"/>
      <c r="K13" s="9"/>
      <c r="L13" s="2"/>
    </row>
    <row r="14" spans="1:14" ht="19.5" customHeight="1" x14ac:dyDescent="0.25">
      <c r="A14" s="7" t="s">
        <v>9</v>
      </c>
      <c r="B14" s="7"/>
      <c r="C14" s="687" t="s">
        <v>7</v>
      </c>
      <c r="D14" s="687"/>
      <c r="E14" s="687"/>
      <c r="F14" s="687"/>
      <c r="G14" s="8"/>
      <c r="H14" s="9"/>
      <c r="I14" s="9"/>
      <c r="J14" s="9"/>
      <c r="K14" s="9"/>
      <c r="L14" s="2"/>
    </row>
    <row r="15" spans="1:14" ht="19.5" customHeight="1" x14ac:dyDescent="0.25">
      <c r="A15" s="42" t="s">
        <v>77</v>
      </c>
      <c r="B15" s="42"/>
      <c r="C15" s="687" t="s">
        <v>175</v>
      </c>
      <c r="D15" s="687"/>
      <c r="E15" s="687"/>
      <c r="F15" s="687"/>
      <c r="G15" s="8"/>
      <c r="H15" s="9"/>
      <c r="I15" s="9"/>
      <c r="J15" s="9"/>
      <c r="K15" s="9"/>
      <c r="L15" s="2"/>
    </row>
    <row r="16" spans="1:14" ht="17.25" customHeight="1" x14ac:dyDescent="0.25">
      <c r="A16" s="42" t="s">
        <v>92</v>
      </c>
      <c r="B16" s="42"/>
      <c r="C16" s="688" t="s">
        <v>8</v>
      </c>
      <c r="D16" s="688"/>
      <c r="E16" s="688"/>
      <c r="F16" s="688"/>
      <c r="G16" s="12"/>
      <c r="H16" s="12"/>
      <c r="I16" s="12"/>
      <c r="J16" s="12"/>
      <c r="K16" s="12"/>
    </row>
    <row r="17" spans="1:15" ht="17.25" customHeight="1" x14ac:dyDescent="0.25">
      <c r="A17" s="42" t="s">
        <v>137</v>
      </c>
      <c r="B17" s="42"/>
      <c r="C17" s="35" t="s">
        <v>152</v>
      </c>
      <c r="D17" s="35"/>
      <c r="E17" s="35"/>
      <c r="F17" s="35"/>
      <c r="G17" s="12"/>
      <c r="H17" s="12"/>
      <c r="I17" s="12"/>
      <c r="J17" s="12"/>
      <c r="K17" s="12"/>
    </row>
    <row r="18" spans="1:15" ht="17.25" customHeight="1" thickBot="1" x14ac:dyDescent="0.3">
      <c r="A18" s="42" t="s">
        <v>147</v>
      </c>
      <c r="B18" s="42"/>
      <c r="C18" s="35" t="s">
        <v>168</v>
      </c>
      <c r="D18" s="35"/>
      <c r="E18" s="35"/>
      <c r="F18" s="35"/>
      <c r="G18" s="12"/>
      <c r="H18" s="12"/>
      <c r="I18" s="12"/>
      <c r="J18" s="12"/>
      <c r="K18" s="12"/>
    </row>
    <row r="19" spans="1:15" ht="17.25" customHeight="1" thickBot="1" x14ac:dyDescent="0.3">
      <c r="A19" s="42" t="s">
        <v>160</v>
      </c>
      <c r="B19" s="42"/>
      <c r="C19" s="35"/>
      <c r="D19" s="35"/>
      <c r="E19" s="35"/>
      <c r="F19" s="35"/>
      <c r="G19" s="12"/>
      <c r="H19" s="12"/>
      <c r="I19" s="12"/>
      <c r="J19" s="12"/>
      <c r="K19" s="12"/>
      <c r="L19" s="533" t="s">
        <v>564</v>
      </c>
      <c r="M19" s="534" t="s">
        <v>565</v>
      </c>
      <c r="N19" s="948" t="s">
        <v>566</v>
      </c>
    </row>
    <row r="20" spans="1:15" ht="17.25" customHeight="1" thickBot="1" x14ac:dyDescent="0.3">
      <c r="A20" s="42"/>
      <c r="B20" s="42"/>
      <c r="C20" s="35"/>
      <c r="D20" s="35"/>
      <c r="E20" s="35"/>
      <c r="F20" s="35"/>
      <c r="G20" s="12"/>
      <c r="H20" s="12"/>
      <c r="I20" s="12"/>
      <c r="J20" s="12"/>
      <c r="K20" s="12"/>
      <c r="L20" s="650" t="s">
        <v>661</v>
      </c>
      <c r="M20" s="650" t="s">
        <v>666</v>
      </c>
      <c r="N20" s="949"/>
      <c r="O20" s="13"/>
    </row>
    <row r="21" spans="1:15" ht="15.75" thickBot="1" x14ac:dyDescent="0.3">
      <c r="A21" s="569"/>
      <c r="B21" s="48" t="s">
        <v>4</v>
      </c>
      <c r="C21" s="690" t="s">
        <v>76</v>
      </c>
      <c r="D21" s="690"/>
      <c r="E21" s="690"/>
      <c r="F21" s="690"/>
      <c r="G21" s="690"/>
      <c r="H21" s="690"/>
      <c r="I21" s="690"/>
      <c r="J21" s="691"/>
      <c r="K21" s="48" t="s">
        <v>10</v>
      </c>
      <c r="L21" s="462" t="s">
        <v>11</v>
      </c>
      <c r="M21" s="448" t="s">
        <v>11</v>
      </c>
      <c r="N21" s="51"/>
    </row>
    <row r="22" spans="1:15" s="40" customFormat="1" x14ac:dyDescent="0.25">
      <c r="B22" s="359" t="s">
        <v>19</v>
      </c>
      <c r="C22" s="692" t="s">
        <v>340</v>
      </c>
      <c r="D22" s="693"/>
      <c r="E22" s="693"/>
      <c r="F22" s="693"/>
      <c r="G22" s="693"/>
      <c r="H22" s="693"/>
      <c r="I22" s="693"/>
      <c r="J22" s="694"/>
      <c r="K22" s="20" t="s">
        <v>14</v>
      </c>
      <c r="L22" s="463">
        <f>CENIK_št_1!K32</f>
        <v>20.747507542833958</v>
      </c>
      <c r="M22" s="463">
        <v>19.949526483494189</v>
      </c>
      <c r="N22" s="194">
        <f>(L22/M22*100)</f>
        <v>104</v>
      </c>
      <c r="O22" s="357"/>
    </row>
    <row r="23" spans="1:15" s="40" customFormat="1" x14ac:dyDescent="0.25">
      <c r="B23" s="359" t="s">
        <v>20</v>
      </c>
      <c r="C23" s="684" t="s">
        <v>357</v>
      </c>
      <c r="D23" s="685"/>
      <c r="E23" s="685"/>
      <c r="F23" s="685"/>
      <c r="G23" s="685"/>
      <c r="H23" s="685"/>
      <c r="I23" s="685"/>
      <c r="J23" s="686"/>
      <c r="K23" s="46" t="s">
        <v>14</v>
      </c>
      <c r="L23" s="463">
        <f>KALKULACIJA_CENIK_št_1!H103</f>
        <v>21.016080827612811</v>
      </c>
      <c r="M23" s="463">
        <v>20.207770026550779</v>
      </c>
      <c r="N23" s="194">
        <f t="shared" ref="N23:N24" si="0">(L23/M23*100)</f>
        <v>104</v>
      </c>
      <c r="O23" s="357"/>
    </row>
    <row r="24" spans="1:15" s="40" customFormat="1" x14ac:dyDescent="0.25">
      <c r="B24" s="359" t="s">
        <v>21</v>
      </c>
      <c r="C24" s="695" t="s">
        <v>353</v>
      </c>
      <c r="D24" s="696"/>
      <c r="E24" s="696"/>
      <c r="F24" s="696"/>
      <c r="G24" s="696"/>
      <c r="H24" s="696"/>
      <c r="I24" s="696"/>
      <c r="J24" s="697"/>
      <c r="K24" s="20" t="s">
        <v>14</v>
      </c>
      <c r="L24" s="463">
        <f>KALKULACIJA_CENIK_št_1!H114</f>
        <v>29.565151586588335</v>
      </c>
      <c r="M24" s="463">
        <v>28.428030371719554</v>
      </c>
      <c r="N24" s="194">
        <f t="shared" si="0"/>
        <v>104</v>
      </c>
    </row>
    <row r="25" spans="1:15" ht="15.75" thickBot="1" x14ac:dyDescent="0.3">
      <c r="A25" s="40"/>
      <c r="B25" s="360" t="s">
        <v>125</v>
      </c>
      <c r="C25" s="654" t="s">
        <v>166</v>
      </c>
      <c r="D25" s="654"/>
      <c r="E25" s="654"/>
      <c r="F25" s="654"/>
      <c r="G25" s="654"/>
      <c r="H25" s="654"/>
      <c r="I25" s="654"/>
      <c r="J25" s="655"/>
      <c r="K25" s="25" t="s">
        <v>14</v>
      </c>
      <c r="L25" s="464">
        <f>KALKULACIJA_CENIK_št_1!H122</f>
        <v>2.0788360693317061</v>
      </c>
      <c r="M25" s="464">
        <v>2.0049778700030516</v>
      </c>
      <c r="N25" s="194">
        <f>(L25/M25*100)</f>
        <v>103.68374137359142</v>
      </c>
    </row>
    <row r="26" spans="1:15" ht="15.75" thickBot="1" x14ac:dyDescent="0.3">
      <c r="A26" s="40"/>
      <c r="B26" s="40"/>
      <c r="C26" s="57"/>
      <c r="D26" s="57"/>
      <c r="E26" s="57"/>
      <c r="F26" s="57"/>
      <c r="G26" s="57"/>
      <c r="H26" s="57"/>
      <c r="I26" s="57"/>
      <c r="J26" s="57"/>
      <c r="K26" s="4"/>
      <c r="L26" s="944" t="s">
        <v>569</v>
      </c>
      <c r="M26" s="945"/>
      <c r="N26" s="544">
        <f>SUM(N22:N25)/4</f>
        <v>103.92093534339786</v>
      </c>
    </row>
    <row r="27" spans="1:15" ht="15.75" thickBot="1" x14ac:dyDescent="0.3">
      <c r="A27" s="4"/>
      <c r="B27" s="4"/>
      <c r="L27" s="225"/>
    </row>
    <row r="28" spans="1:15" ht="15.75" thickBot="1" x14ac:dyDescent="0.3">
      <c r="A28" s="569"/>
      <c r="B28" s="48" t="s">
        <v>5</v>
      </c>
      <c r="C28" s="699" t="s">
        <v>87</v>
      </c>
      <c r="D28" s="699"/>
      <c r="E28" s="699"/>
      <c r="F28" s="699"/>
      <c r="G28" s="699"/>
      <c r="H28" s="699"/>
      <c r="I28" s="699"/>
      <c r="J28" s="699"/>
      <c r="K28" s="700"/>
      <c r="L28" s="465" t="s">
        <v>113</v>
      </c>
      <c r="M28" s="49" t="s">
        <v>113</v>
      </c>
      <c r="N28" s="438"/>
    </row>
    <row r="29" spans="1:15" s="40" customFormat="1" x14ac:dyDescent="0.25">
      <c r="B29" s="359" t="s">
        <v>116</v>
      </c>
      <c r="C29" s="451" t="s">
        <v>518</v>
      </c>
      <c r="D29" s="451"/>
      <c r="E29" s="451"/>
      <c r="F29" s="451"/>
      <c r="G29" s="451"/>
      <c r="H29" s="451"/>
      <c r="I29" s="451"/>
      <c r="J29" s="451"/>
      <c r="K29" s="452"/>
      <c r="L29" s="466" t="s">
        <v>114</v>
      </c>
      <c r="M29" s="20" t="s">
        <v>114</v>
      </c>
      <c r="N29" s="194">
        <f>(L29/M29*100)</f>
        <v>100</v>
      </c>
    </row>
    <row r="30" spans="1:15" s="40" customFormat="1" x14ac:dyDescent="0.25">
      <c r="B30" s="359" t="s">
        <v>117</v>
      </c>
      <c r="C30" s="451" t="s">
        <v>512</v>
      </c>
      <c r="D30" s="451"/>
      <c r="E30" s="451"/>
      <c r="F30" s="451"/>
      <c r="G30" s="451"/>
      <c r="H30" s="451"/>
      <c r="I30" s="451"/>
      <c r="J30" s="451"/>
      <c r="K30" s="452"/>
      <c r="L30" s="466" t="s">
        <v>115</v>
      </c>
      <c r="M30" s="20" t="s">
        <v>115</v>
      </c>
      <c r="N30" s="194">
        <f>(L30/M30*100)</f>
        <v>100</v>
      </c>
    </row>
    <row r="31" spans="1:15" s="40" customFormat="1" x14ac:dyDescent="0.25">
      <c r="B31" s="359" t="s">
        <v>118</v>
      </c>
      <c r="C31" s="451" t="s">
        <v>511</v>
      </c>
      <c r="D31" s="451"/>
      <c r="E31" s="451"/>
      <c r="F31" s="451"/>
      <c r="G31" s="451"/>
      <c r="H31" s="451"/>
      <c r="I31" s="451"/>
      <c r="J31" s="451"/>
      <c r="K31" s="452"/>
      <c r="L31" s="466" t="s">
        <v>115</v>
      </c>
      <c r="M31" s="20" t="s">
        <v>115</v>
      </c>
      <c r="N31" s="194">
        <f t="shared" ref="N31:N32" si="1">(L31/M31*100)</f>
        <v>100</v>
      </c>
    </row>
    <row r="32" spans="1:15" s="40" customFormat="1" x14ac:dyDescent="0.25">
      <c r="B32" s="359" t="s">
        <v>119</v>
      </c>
      <c r="C32" s="451" t="s">
        <v>513</v>
      </c>
      <c r="D32" s="451"/>
      <c r="E32" s="451"/>
      <c r="F32" s="451"/>
      <c r="G32" s="451"/>
      <c r="H32" s="451"/>
      <c r="I32" s="451"/>
      <c r="J32" s="451"/>
      <c r="K32" s="452"/>
      <c r="L32" s="466" t="s">
        <v>514</v>
      </c>
      <c r="M32" s="20" t="s">
        <v>514</v>
      </c>
      <c r="N32" s="194">
        <f t="shared" si="1"/>
        <v>100</v>
      </c>
    </row>
    <row r="33" spans="1:16" s="40" customFormat="1" x14ac:dyDescent="0.25">
      <c r="B33" s="359" t="s">
        <v>120</v>
      </c>
      <c r="C33" s="451" t="s">
        <v>531</v>
      </c>
      <c r="D33" s="451"/>
      <c r="E33" s="451"/>
      <c r="F33" s="451"/>
      <c r="G33" s="451"/>
      <c r="H33" s="451"/>
      <c r="I33" s="451"/>
      <c r="J33" s="451"/>
      <c r="K33" s="452"/>
      <c r="L33" s="466" t="s">
        <v>121</v>
      </c>
      <c r="M33" s="20" t="s">
        <v>121</v>
      </c>
      <c r="N33" s="194">
        <f>(L33/M33*100)</f>
        <v>100</v>
      </c>
    </row>
    <row r="34" spans="1:16" s="40" customFormat="1" x14ac:dyDescent="0.25">
      <c r="B34" s="359" t="s">
        <v>515</v>
      </c>
      <c r="C34" s="451" t="s">
        <v>530</v>
      </c>
      <c r="D34" s="451"/>
      <c r="E34" s="451"/>
      <c r="F34" s="451"/>
      <c r="G34" s="451"/>
      <c r="H34" s="451"/>
      <c r="I34" s="451"/>
      <c r="J34" s="451"/>
      <c r="K34" s="452"/>
      <c r="L34" s="466" t="s">
        <v>121</v>
      </c>
      <c r="M34" s="20" t="s">
        <v>121</v>
      </c>
      <c r="N34" s="194">
        <f t="shared" ref="N34:N40" si="2">(L34/M34*100)</f>
        <v>100</v>
      </c>
    </row>
    <row r="35" spans="1:16" s="40" customFormat="1" x14ac:dyDescent="0.25">
      <c r="B35" s="359" t="s">
        <v>516</v>
      </c>
      <c r="C35" s="451" t="s">
        <v>524</v>
      </c>
      <c r="D35" s="451"/>
      <c r="E35" s="451"/>
      <c r="F35" s="451"/>
      <c r="G35" s="451"/>
      <c r="H35" s="451"/>
      <c r="I35" s="451"/>
      <c r="J35" s="451"/>
      <c r="K35" s="452"/>
      <c r="L35" s="466" t="s">
        <v>523</v>
      </c>
      <c r="M35" s="20" t="s">
        <v>523</v>
      </c>
      <c r="N35" s="194">
        <f t="shared" si="2"/>
        <v>100</v>
      </c>
    </row>
    <row r="36" spans="1:16" s="40" customFormat="1" x14ac:dyDescent="0.25">
      <c r="B36" s="359" t="s">
        <v>517</v>
      </c>
      <c r="C36" s="685" t="s">
        <v>519</v>
      </c>
      <c r="D36" s="685"/>
      <c r="E36" s="685"/>
      <c r="F36" s="685"/>
      <c r="G36" s="685"/>
      <c r="H36" s="685"/>
      <c r="I36" s="685"/>
      <c r="J36" s="685"/>
      <c r="K36" s="686"/>
      <c r="L36" s="466" t="s">
        <v>122</v>
      </c>
      <c r="M36" s="20" t="s">
        <v>122</v>
      </c>
      <c r="N36" s="194">
        <f t="shared" si="2"/>
        <v>100</v>
      </c>
    </row>
    <row r="37" spans="1:16" s="40" customFormat="1" x14ac:dyDescent="0.25">
      <c r="B37" s="359" t="s">
        <v>526</v>
      </c>
      <c r="C37" s="685" t="s">
        <v>525</v>
      </c>
      <c r="D37" s="685"/>
      <c r="E37" s="685"/>
      <c r="F37" s="685"/>
      <c r="G37" s="685"/>
      <c r="H37" s="685"/>
      <c r="I37" s="685"/>
      <c r="J37" s="685"/>
      <c r="K37" s="686"/>
      <c r="L37" s="466" t="s">
        <v>522</v>
      </c>
      <c r="M37" s="20" t="s">
        <v>522</v>
      </c>
      <c r="N37" s="194">
        <f t="shared" si="2"/>
        <v>100</v>
      </c>
    </row>
    <row r="38" spans="1:16" s="40" customFormat="1" x14ac:dyDescent="0.25">
      <c r="B38" s="359" t="s">
        <v>527</v>
      </c>
      <c r="C38" s="685" t="s">
        <v>520</v>
      </c>
      <c r="D38" s="685"/>
      <c r="E38" s="685"/>
      <c r="F38" s="685"/>
      <c r="G38" s="685"/>
      <c r="H38" s="685"/>
      <c r="I38" s="685"/>
      <c r="J38" s="685"/>
      <c r="K38" s="686"/>
      <c r="L38" s="466" t="s">
        <v>522</v>
      </c>
      <c r="M38" s="20" t="s">
        <v>522</v>
      </c>
      <c r="N38" s="194">
        <f t="shared" si="2"/>
        <v>100</v>
      </c>
    </row>
    <row r="39" spans="1:16" s="40" customFormat="1" x14ac:dyDescent="0.25">
      <c r="B39" s="359" t="s">
        <v>528</v>
      </c>
      <c r="C39" s="685" t="s">
        <v>529</v>
      </c>
      <c r="D39" s="685"/>
      <c r="E39" s="685"/>
      <c r="F39" s="685"/>
      <c r="G39" s="685"/>
      <c r="H39" s="685"/>
      <c r="I39" s="685"/>
      <c r="J39" s="685"/>
      <c r="K39" s="686"/>
      <c r="L39" s="466" t="s">
        <v>522</v>
      </c>
      <c r="M39" s="20" t="s">
        <v>522</v>
      </c>
      <c r="N39" s="194">
        <f t="shared" si="2"/>
        <v>100</v>
      </c>
    </row>
    <row r="40" spans="1:16" s="40" customFormat="1" ht="15.75" thickBot="1" x14ac:dyDescent="0.3">
      <c r="B40" s="360" t="s">
        <v>532</v>
      </c>
      <c r="C40" s="685" t="s">
        <v>521</v>
      </c>
      <c r="D40" s="685"/>
      <c r="E40" s="685"/>
      <c r="F40" s="685"/>
      <c r="G40" s="685"/>
      <c r="H40" s="685"/>
      <c r="I40" s="685"/>
      <c r="J40" s="685"/>
      <c r="K40" s="694"/>
      <c r="L40" s="541" t="s">
        <v>523</v>
      </c>
      <c r="M40" s="20" t="s">
        <v>523</v>
      </c>
      <c r="N40" s="194">
        <f t="shared" si="2"/>
        <v>100</v>
      </c>
    </row>
    <row r="41" spans="1:16" s="40" customFormat="1" ht="15.75" thickBot="1" x14ac:dyDescent="0.3">
      <c r="C41" s="540"/>
      <c r="D41" s="540"/>
      <c r="E41" s="540"/>
      <c r="F41" s="540"/>
      <c r="G41" s="540"/>
      <c r="H41" s="540"/>
      <c r="I41" s="540"/>
      <c r="J41" s="540"/>
      <c r="K41" s="944" t="s">
        <v>570</v>
      </c>
      <c r="L41" s="946"/>
      <c r="M41" s="945"/>
      <c r="N41" s="544">
        <f>SUM(N29:N40)/12</f>
        <v>100</v>
      </c>
    </row>
    <row r="42" spans="1:16" ht="15.75" thickBot="1" x14ac:dyDescent="0.3">
      <c r="A42" s="4"/>
      <c r="B42" s="4"/>
      <c r="L42" s="225"/>
      <c r="N42" s="196"/>
    </row>
    <row r="43" spans="1:16" ht="15.75" thickBot="1" x14ac:dyDescent="0.3">
      <c r="A43" s="569"/>
      <c r="B43" s="48" t="s">
        <v>6</v>
      </c>
      <c r="C43" s="664" t="s">
        <v>3</v>
      </c>
      <c r="D43" s="664"/>
      <c r="E43" s="664"/>
      <c r="F43" s="664"/>
      <c r="G43" s="664"/>
      <c r="H43" s="664"/>
      <c r="I43" s="664"/>
      <c r="J43" s="665"/>
      <c r="K43" s="50" t="s">
        <v>10</v>
      </c>
      <c r="L43" s="467" t="s">
        <v>11</v>
      </c>
      <c r="M43" s="50" t="s">
        <v>11</v>
      </c>
      <c r="N43" s="438"/>
    </row>
    <row r="44" spans="1:16" x14ac:dyDescent="0.25">
      <c r="A44" s="40"/>
      <c r="B44" s="359" t="s">
        <v>27</v>
      </c>
      <c r="C44" s="681" t="s">
        <v>12</v>
      </c>
      <c r="D44" s="681"/>
      <c r="E44" s="681"/>
      <c r="F44" s="681"/>
      <c r="G44" s="681"/>
      <c r="H44" s="681"/>
      <c r="I44" s="681"/>
      <c r="J44" s="682"/>
      <c r="K44" s="18" t="s">
        <v>14</v>
      </c>
      <c r="L44" s="463">
        <f>KALKULACIJA_CENIK_št_1!I136</f>
        <v>27.554746642320413</v>
      </c>
      <c r="M44" s="34">
        <v>27.133803495424143</v>
      </c>
      <c r="N44" s="194">
        <f>(L44/M44*100)</f>
        <v>101.55136063754297</v>
      </c>
      <c r="O44" s="59"/>
      <c r="P44" s="59"/>
    </row>
    <row r="45" spans="1:16" x14ac:dyDescent="0.25">
      <c r="A45" s="40"/>
      <c r="B45" s="359" t="s">
        <v>28</v>
      </c>
      <c r="C45" s="654" t="s">
        <v>15</v>
      </c>
      <c r="D45" s="654"/>
      <c r="E45" s="654"/>
      <c r="F45" s="654"/>
      <c r="G45" s="654"/>
      <c r="H45" s="654"/>
      <c r="I45" s="654"/>
      <c r="J45" s="655"/>
      <c r="K45" s="25" t="s">
        <v>14</v>
      </c>
      <c r="L45" s="464">
        <f>KALKULACIJA_CENIK_št_1!I150</f>
        <v>35.022206719540229</v>
      </c>
      <c r="M45" s="37">
        <v>34.142030114942528</v>
      </c>
      <c r="N45" s="194">
        <f t="shared" ref="N45:N65" si="3">(L45/M45*100)</f>
        <v>102.57798555514859</v>
      </c>
      <c r="O45" s="59"/>
      <c r="P45" s="59"/>
    </row>
    <row r="46" spans="1:16" x14ac:dyDescent="0.25">
      <c r="A46" s="40"/>
      <c r="B46" s="361" t="s">
        <v>29</v>
      </c>
      <c r="C46" s="660" t="s">
        <v>13</v>
      </c>
      <c r="D46" s="660"/>
      <c r="E46" s="660"/>
      <c r="F46" s="660"/>
      <c r="G46" s="660"/>
      <c r="H46" s="660"/>
      <c r="I46" s="660"/>
      <c r="J46" s="661"/>
      <c r="K46" s="18" t="s">
        <v>14</v>
      </c>
      <c r="L46" s="463">
        <f>KALKULACIJA_CENIK_št_1!I164</f>
        <v>33.810121642320418</v>
      </c>
      <c r="M46" s="34">
        <v>33.38917849542414</v>
      </c>
      <c r="N46" s="194">
        <f t="shared" si="3"/>
        <v>101.26071729184343</v>
      </c>
      <c r="O46" s="59"/>
      <c r="P46" s="59"/>
    </row>
    <row r="47" spans="1:16" x14ac:dyDescent="0.25">
      <c r="A47" s="40"/>
      <c r="B47" s="359" t="s">
        <v>30</v>
      </c>
      <c r="C47" s="654" t="s">
        <v>333</v>
      </c>
      <c r="D47" s="654"/>
      <c r="E47" s="654"/>
      <c r="F47" s="654"/>
      <c r="G47" s="654"/>
      <c r="H47" s="654"/>
      <c r="I47" s="654"/>
      <c r="J47" s="655"/>
      <c r="K47" s="18" t="s">
        <v>14</v>
      </c>
      <c r="L47" s="463">
        <f>KALKULACIJA_CENIK_št_1!I178</f>
        <v>46.527721642320408</v>
      </c>
      <c r="M47" s="34">
        <v>46.106778495424138</v>
      </c>
      <c r="N47" s="194">
        <f t="shared" si="3"/>
        <v>100.91297453570314</v>
      </c>
      <c r="O47" s="59"/>
      <c r="P47" s="59"/>
    </row>
    <row r="48" spans="1:16" x14ac:dyDescent="0.25">
      <c r="A48" s="40"/>
      <c r="B48" s="359" t="s">
        <v>31</v>
      </c>
      <c r="C48" s="654" t="s">
        <v>540</v>
      </c>
      <c r="D48" s="654"/>
      <c r="E48" s="654"/>
      <c r="F48" s="654"/>
      <c r="G48" s="654"/>
      <c r="H48" s="654"/>
      <c r="I48" s="654"/>
      <c r="J48" s="655"/>
      <c r="K48" s="18" t="s">
        <v>14</v>
      </c>
      <c r="L48" s="463">
        <f>CENIK_št_1!K56</f>
        <v>50.025009142320414</v>
      </c>
      <c r="M48" s="34">
        <v>49.604065995424129</v>
      </c>
      <c r="N48" s="194">
        <f t="shared" si="3"/>
        <v>100.84860613429373</v>
      </c>
      <c r="O48" s="59"/>
      <c r="P48" s="59"/>
    </row>
    <row r="49" spans="1:16" x14ac:dyDescent="0.25">
      <c r="A49" s="40"/>
      <c r="B49" s="359" t="s">
        <v>32</v>
      </c>
      <c r="C49" s="660" t="s">
        <v>334</v>
      </c>
      <c r="D49" s="660"/>
      <c r="E49" s="660"/>
      <c r="F49" s="660"/>
      <c r="G49" s="660"/>
      <c r="H49" s="660"/>
      <c r="I49" s="660"/>
      <c r="J49" s="661"/>
      <c r="K49" s="18" t="s">
        <v>14</v>
      </c>
      <c r="L49" s="463">
        <f>KALKULACIJA_CENIK_št_1!I207</f>
        <v>58.971621642320414</v>
      </c>
      <c r="M49" s="34">
        <v>58.550678495424137</v>
      </c>
      <c r="N49" s="194">
        <f t="shared" si="3"/>
        <v>100.71893811944328</v>
      </c>
      <c r="O49" s="59"/>
      <c r="P49" s="59"/>
    </row>
    <row r="50" spans="1:16" x14ac:dyDescent="0.25">
      <c r="A50" s="40"/>
      <c r="B50" s="359" t="s">
        <v>33</v>
      </c>
      <c r="C50" s="654" t="s">
        <v>335</v>
      </c>
      <c r="D50" s="654"/>
      <c r="E50" s="654"/>
      <c r="F50" s="654"/>
      <c r="G50" s="654"/>
      <c r="H50" s="654"/>
      <c r="I50" s="654"/>
      <c r="J50" s="655"/>
      <c r="K50" s="25" t="s">
        <v>14</v>
      </c>
      <c r="L50" s="464">
        <f>CENIK_št_1!K58</f>
        <v>61.796996642320408</v>
      </c>
      <c r="M50" s="37">
        <v>61.376053495424145</v>
      </c>
      <c r="N50" s="194">
        <f t="shared" si="3"/>
        <v>100.68584264207807</v>
      </c>
      <c r="O50" s="59"/>
      <c r="P50" s="59"/>
    </row>
    <row r="51" spans="1:16" x14ac:dyDescent="0.25">
      <c r="A51" s="40"/>
      <c r="B51" s="359" t="s">
        <v>35</v>
      </c>
      <c r="C51" s="660" t="s">
        <v>354</v>
      </c>
      <c r="D51" s="660"/>
      <c r="E51" s="660"/>
      <c r="F51" s="660"/>
      <c r="G51" s="660"/>
      <c r="H51" s="660"/>
      <c r="I51" s="660"/>
      <c r="J51" s="661"/>
      <c r="K51" s="18" t="s">
        <v>14</v>
      </c>
      <c r="L51" s="463">
        <f>KALKULACIJA_CENIK_št_1!I233</f>
        <v>72.183246642320412</v>
      </c>
      <c r="M51" s="34">
        <v>71.762303495424149</v>
      </c>
      <c r="N51" s="194">
        <f t="shared" si="3"/>
        <v>100.58657975899993</v>
      </c>
      <c r="O51" s="59"/>
      <c r="P51" s="59"/>
    </row>
    <row r="52" spans="1:16" x14ac:dyDescent="0.25">
      <c r="A52" s="40"/>
      <c r="B52" s="359" t="s">
        <v>36</v>
      </c>
      <c r="C52" s="654" t="s">
        <v>26</v>
      </c>
      <c r="D52" s="654"/>
      <c r="E52" s="654"/>
      <c r="F52" s="654"/>
      <c r="G52" s="654"/>
      <c r="H52" s="654"/>
      <c r="I52" s="654"/>
      <c r="J52" s="655"/>
      <c r="K52" s="25" t="s">
        <v>14</v>
      </c>
      <c r="L52" s="464">
        <f>KALKULACIJA_CENIK_št_1!I247</f>
        <v>54.531191086764849</v>
      </c>
      <c r="M52" s="37">
        <v>54.110247939868586</v>
      </c>
      <c r="N52" s="194">
        <f t="shared" si="3"/>
        <v>100.77793608959998</v>
      </c>
      <c r="O52" s="59"/>
      <c r="P52" s="59"/>
    </row>
    <row r="53" spans="1:16" x14ac:dyDescent="0.25">
      <c r="A53" s="40"/>
      <c r="B53" s="359" t="s">
        <v>45</v>
      </c>
      <c r="C53" s="654" t="s">
        <v>73</v>
      </c>
      <c r="D53" s="654"/>
      <c r="E53" s="654"/>
      <c r="F53" s="654"/>
      <c r="G53" s="654"/>
      <c r="H53" s="654"/>
      <c r="I53" s="654"/>
      <c r="J53" s="655"/>
      <c r="K53" s="25" t="s">
        <v>14</v>
      </c>
      <c r="L53" s="464">
        <f>KALKULACIJA_CENIK_št_1!I260</f>
        <v>96.600996642320411</v>
      </c>
      <c r="M53" s="37">
        <v>96.180053495424147</v>
      </c>
      <c r="N53" s="194">
        <f t="shared" si="3"/>
        <v>100.43766158532684</v>
      </c>
      <c r="O53" s="59"/>
      <c r="P53" s="59"/>
    </row>
    <row r="54" spans="1:16" x14ac:dyDescent="0.25">
      <c r="A54" s="40"/>
      <c r="B54" s="359" t="s">
        <v>46</v>
      </c>
      <c r="C54" s="654" t="s">
        <v>652</v>
      </c>
      <c r="D54" s="654"/>
      <c r="E54" s="654"/>
      <c r="F54" s="654"/>
      <c r="G54" s="654"/>
      <c r="H54" s="654"/>
      <c r="I54" s="654"/>
      <c r="J54" s="655"/>
      <c r="K54" s="18" t="s">
        <v>14</v>
      </c>
      <c r="L54" s="463">
        <f>KALKULACIJA_CENIK_št_1!I273</f>
        <v>81.078496642320403</v>
      </c>
      <c r="M54" s="34">
        <v>80.657553495424139</v>
      </c>
      <c r="N54" s="194"/>
      <c r="O54" s="59"/>
      <c r="P54" s="59"/>
    </row>
    <row r="55" spans="1:16" x14ac:dyDescent="0.25">
      <c r="A55" s="40"/>
      <c r="B55" s="359" t="s">
        <v>47</v>
      </c>
      <c r="C55" s="439" t="str">
        <f>CENIK_št_1!B63</f>
        <v>Tovorno vozilo do 15 t sdm z nadgradnjo za črpanje greznic</v>
      </c>
      <c r="D55" s="439"/>
      <c r="E55" s="439"/>
      <c r="F55" s="439"/>
      <c r="G55" s="439"/>
      <c r="H55" s="439"/>
      <c r="I55" s="439"/>
      <c r="J55" s="440"/>
      <c r="K55" s="25" t="s">
        <v>14</v>
      </c>
      <c r="L55" s="464">
        <f>CENIK_št_1!K63</f>
        <v>55.92341330898708</v>
      </c>
      <c r="M55" s="34">
        <v>55.502470162090809</v>
      </c>
      <c r="N55" s="194">
        <f t="shared" si="3"/>
        <v>100.75842236510724</v>
      </c>
      <c r="O55" s="59"/>
      <c r="P55" s="59"/>
    </row>
    <row r="56" spans="1:16" x14ac:dyDescent="0.25">
      <c r="A56" s="40"/>
      <c r="B56" s="359" t="s">
        <v>48</v>
      </c>
      <c r="C56" s="660" t="s">
        <v>16</v>
      </c>
      <c r="D56" s="660"/>
      <c r="E56" s="660"/>
      <c r="F56" s="660"/>
      <c r="G56" s="660"/>
      <c r="H56" s="660"/>
      <c r="I56" s="660"/>
      <c r="J56" s="661"/>
      <c r="K56" s="18" t="s">
        <v>14</v>
      </c>
      <c r="L56" s="463">
        <f>KALKULACIJA_CENIK_št_1!I299</f>
        <v>82.279996642320413</v>
      </c>
      <c r="M56" s="34">
        <v>81.859053495424135</v>
      </c>
      <c r="N56" s="194">
        <f t="shared" si="3"/>
        <v>100.51422918898008</v>
      </c>
      <c r="O56" s="59"/>
      <c r="P56" s="59"/>
    </row>
    <row r="57" spans="1:16" x14ac:dyDescent="0.25">
      <c r="A57" s="40"/>
      <c r="B57" s="359" t="s">
        <v>50</v>
      </c>
      <c r="C57" s="654" t="s">
        <v>17</v>
      </c>
      <c r="D57" s="654"/>
      <c r="E57" s="654"/>
      <c r="F57" s="654"/>
      <c r="G57" s="654"/>
      <c r="H57" s="654"/>
      <c r="I57" s="654"/>
      <c r="J57" s="655"/>
      <c r="K57" s="25" t="s">
        <v>14</v>
      </c>
      <c r="L57" s="464">
        <f>KALKULACIJA_CENIK_št_1!I312</f>
        <v>83.645163308987094</v>
      </c>
      <c r="M57" s="37">
        <v>83.224220162090802</v>
      </c>
      <c r="N57" s="194">
        <f t="shared" si="3"/>
        <v>100.50579404177829</v>
      </c>
      <c r="O57" s="59"/>
      <c r="P57" s="59"/>
    </row>
    <row r="58" spans="1:16" x14ac:dyDescent="0.25">
      <c r="A58" s="40"/>
      <c r="B58" s="359" t="s">
        <v>497</v>
      </c>
      <c r="C58" s="660" t="str">
        <f>CENIK_št_1!B66</f>
        <v>Traktor [do 50kW]</v>
      </c>
      <c r="D58" s="660"/>
      <c r="E58" s="660"/>
      <c r="F58" s="660"/>
      <c r="G58" s="660"/>
      <c r="H58" s="660"/>
      <c r="I58" s="660"/>
      <c r="J58" s="661"/>
      <c r="K58" s="18" t="s">
        <v>14</v>
      </c>
      <c r="L58" s="463">
        <f>CENIK_št_1!K66</f>
        <v>41.108934142320408</v>
      </c>
      <c r="M58" s="34">
        <v>40.687990995424144</v>
      </c>
      <c r="N58" s="194">
        <f t="shared" si="3"/>
        <v>101.03456360611072</v>
      </c>
      <c r="O58" s="59"/>
      <c r="P58" s="59"/>
    </row>
    <row r="59" spans="1:16" x14ac:dyDescent="0.25">
      <c r="A59" s="40"/>
      <c r="B59" s="359" t="s">
        <v>539</v>
      </c>
      <c r="C59" s="654" t="str">
        <f>CENIK_št_1!B67</f>
        <v>Traktor [ 50 - 70 kW]</v>
      </c>
      <c r="D59" s="654"/>
      <c r="E59" s="654"/>
      <c r="F59" s="654"/>
      <c r="G59" s="654"/>
      <c r="H59" s="654"/>
      <c r="I59" s="654"/>
      <c r="J59" s="655"/>
      <c r="K59" s="362" t="s">
        <v>361</v>
      </c>
      <c r="L59" s="468">
        <f>CENIK_št_1!K67</f>
        <v>45.533371642320411</v>
      </c>
      <c r="M59" s="34">
        <v>45.11242849542414</v>
      </c>
      <c r="N59" s="194">
        <f t="shared" si="3"/>
        <v>100.93309795312608</v>
      </c>
      <c r="O59" s="59"/>
      <c r="P59" s="59"/>
    </row>
    <row r="60" spans="1:16" x14ac:dyDescent="0.25">
      <c r="A60" s="40"/>
      <c r="B60" s="359" t="s">
        <v>88</v>
      </c>
      <c r="C60" s="654" t="str">
        <f>CENIK_št_1!B68</f>
        <v>Traktor [ 70 kW - 90 kW]</v>
      </c>
      <c r="D60" s="654"/>
      <c r="E60" s="654"/>
      <c r="F60" s="654"/>
      <c r="G60" s="654"/>
      <c r="H60" s="654"/>
      <c r="I60" s="654"/>
      <c r="J60" s="655"/>
      <c r="K60" s="25" t="s">
        <v>14</v>
      </c>
      <c r="L60" s="464">
        <f>CENIK_št_1!K68</f>
        <v>49.574996642320414</v>
      </c>
      <c r="M60" s="37">
        <v>49.154053495424137</v>
      </c>
      <c r="N60" s="194">
        <f t="shared" si="3"/>
        <v>100.856375246724</v>
      </c>
      <c r="O60" s="59"/>
      <c r="P60" s="59"/>
    </row>
    <row r="61" spans="1:16" x14ac:dyDescent="0.25">
      <c r="A61" s="40"/>
      <c r="B61" s="359" t="s">
        <v>89</v>
      </c>
      <c r="C61" s="654" t="str">
        <f>CENIK_št_1!B69</f>
        <v>Traktor [nad 90 kW]</v>
      </c>
      <c r="D61" s="654"/>
      <c r="E61" s="654"/>
      <c r="F61" s="654"/>
      <c r="G61" s="654"/>
      <c r="H61" s="654"/>
      <c r="I61" s="654"/>
      <c r="J61" s="655"/>
      <c r="K61" s="25" t="s">
        <v>14</v>
      </c>
      <c r="L61" s="464">
        <f>CENIK_št_1!K69</f>
        <v>57.970341719540237</v>
      </c>
      <c r="M61" s="37">
        <v>57.090165114942529</v>
      </c>
      <c r="N61" s="194">
        <f t="shared" ref="N61" si="4">(L61/M61*100)</f>
        <v>101.54173070409868</v>
      </c>
      <c r="O61" s="59"/>
      <c r="P61" s="59"/>
    </row>
    <row r="62" spans="1:16" x14ac:dyDescent="0.25">
      <c r="A62" s="40"/>
      <c r="B62" s="567" t="s">
        <v>585</v>
      </c>
      <c r="C62" s="673" t="s">
        <v>581</v>
      </c>
      <c r="D62" s="673"/>
      <c r="E62" s="673"/>
      <c r="F62" s="673"/>
      <c r="G62" s="673"/>
      <c r="H62" s="673"/>
      <c r="I62" s="673"/>
      <c r="J62" s="674"/>
      <c r="K62" s="551" t="s">
        <v>14</v>
      </c>
      <c r="L62" s="463">
        <v>59.4</v>
      </c>
      <c r="M62" s="572">
        <v>59.4</v>
      </c>
      <c r="N62" s="194">
        <f t="shared" si="3"/>
        <v>100</v>
      </c>
      <c r="O62" s="59"/>
      <c r="P62" s="59"/>
    </row>
    <row r="63" spans="1:16" x14ac:dyDescent="0.25">
      <c r="A63" s="40"/>
      <c r="B63" s="567" t="s">
        <v>586</v>
      </c>
      <c r="C63" s="673" t="s">
        <v>582</v>
      </c>
      <c r="D63" s="673"/>
      <c r="E63" s="673"/>
      <c r="F63" s="673"/>
      <c r="G63" s="673"/>
      <c r="H63" s="673"/>
      <c r="I63" s="673"/>
      <c r="J63" s="674"/>
      <c r="K63" s="551" t="s">
        <v>14</v>
      </c>
      <c r="L63" s="463">
        <v>57.2</v>
      </c>
      <c r="M63" s="572">
        <v>57.2</v>
      </c>
      <c r="N63" s="194">
        <f t="shared" si="3"/>
        <v>100</v>
      </c>
      <c r="O63" s="59"/>
      <c r="P63" s="59"/>
    </row>
    <row r="64" spans="1:16" x14ac:dyDescent="0.25">
      <c r="A64" s="40"/>
      <c r="B64" s="567" t="s">
        <v>617</v>
      </c>
      <c r="C64" s="673" t="s">
        <v>583</v>
      </c>
      <c r="D64" s="673"/>
      <c r="E64" s="673"/>
      <c r="F64" s="673"/>
      <c r="G64" s="673"/>
      <c r="H64" s="673"/>
      <c r="I64" s="673"/>
      <c r="J64" s="674"/>
      <c r="K64" s="551" t="s">
        <v>14</v>
      </c>
      <c r="L64" s="463">
        <v>49.5</v>
      </c>
      <c r="M64" s="572">
        <v>49.5</v>
      </c>
      <c r="N64" s="194">
        <f t="shared" si="3"/>
        <v>100</v>
      </c>
      <c r="O64" s="59"/>
      <c r="P64" s="59"/>
    </row>
    <row r="65" spans="1:16" ht="15.75" thickBot="1" x14ac:dyDescent="0.3">
      <c r="A65" s="40"/>
      <c r="B65" s="568" t="s">
        <v>649</v>
      </c>
      <c r="C65" s="673" t="s">
        <v>588</v>
      </c>
      <c r="D65" s="673"/>
      <c r="E65" s="673"/>
      <c r="F65" s="673"/>
      <c r="G65" s="673"/>
      <c r="H65" s="673"/>
      <c r="I65" s="673"/>
      <c r="J65" s="674"/>
      <c r="K65" s="551" t="s">
        <v>584</v>
      </c>
      <c r="L65" s="463">
        <v>1.54</v>
      </c>
      <c r="M65" s="572">
        <v>1.54</v>
      </c>
      <c r="N65" s="194">
        <f t="shared" si="3"/>
        <v>100</v>
      </c>
      <c r="O65" s="59"/>
      <c r="P65" s="59"/>
    </row>
    <row r="66" spans="1:16" ht="15.75" thickBot="1" x14ac:dyDescent="0.3">
      <c r="A66" s="40"/>
      <c r="B66" s="40"/>
      <c r="C66" s="57"/>
      <c r="D66" s="57"/>
      <c r="E66" s="57"/>
      <c r="F66" s="57"/>
      <c r="G66" s="57"/>
      <c r="H66" s="57"/>
      <c r="I66" s="57"/>
      <c r="J66" s="57"/>
      <c r="K66" s="4"/>
      <c r="L66" s="530"/>
      <c r="M66" s="39"/>
      <c r="N66" s="198"/>
      <c r="O66" s="59"/>
      <c r="P66" s="59"/>
    </row>
    <row r="67" spans="1:16" ht="15.75" thickBot="1" x14ac:dyDescent="0.3">
      <c r="A67" s="40"/>
      <c r="B67" s="40"/>
      <c r="C67" s="57"/>
      <c r="D67" s="57"/>
      <c r="E67" s="57"/>
      <c r="F67" s="57"/>
      <c r="G67" s="57"/>
      <c r="H67" s="57"/>
      <c r="I67" s="57"/>
      <c r="J67" s="57"/>
      <c r="K67" s="944" t="s">
        <v>571</v>
      </c>
      <c r="L67" s="946"/>
      <c r="M67" s="945"/>
      <c r="N67" s="544">
        <f>SUM(N44:N65)/21</f>
        <v>100.7858483550431</v>
      </c>
      <c r="O67" s="59"/>
      <c r="P67" s="59"/>
    </row>
    <row r="68" spans="1:16" ht="15.75" thickBot="1" x14ac:dyDescent="0.3">
      <c r="A68" s="40"/>
      <c r="B68" s="22"/>
      <c r="C68" s="23"/>
      <c r="D68" s="23"/>
      <c r="E68" s="23"/>
      <c r="F68" s="23"/>
      <c r="G68" s="23"/>
      <c r="H68" s="23"/>
      <c r="I68" s="23"/>
      <c r="J68" s="23"/>
      <c r="K68" s="24"/>
      <c r="L68" s="582"/>
      <c r="M68" s="38"/>
      <c r="N68" s="197"/>
    </row>
    <row r="69" spans="1:16" ht="15.75" thickBot="1" x14ac:dyDescent="0.3">
      <c r="A69" s="569"/>
      <c r="B69" s="48" t="s">
        <v>9</v>
      </c>
      <c r="C69" s="664" t="s">
        <v>7</v>
      </c>
      <c r="D69" s="664"/>
      <c r="E69" s="664"/>
      <c r="F69" s="664"/>
      <c r="G69" s="664"/>
      <c r="H69" s="664"/>
      <c r="I69" s="664"/>
      <c r="J69" s="665"/>
      <c r="K69" s="50" t="s">
        <v>10</v>
      </c>
      <c r="L69" s="469" t="s">
        <v>11</v>
      </c>
      <c r="M69" s="51" t="s">
        <v>11</v>
      </c>
      <c r="N69" s="438"/>
    </row>
    <row r="70" spans="1:16" x14ac:dyDescent="0.25">
      <c r="A70" s="40"/>
      <c r="B70" s="359" t="s">
        <v>52</v>
      </c>
      <c r="C70" s="660" t="s">
        <v>330</v>
      </c>
      <c r="D70" s="660"/>
      <c r="E70" s="660"/>
      <c r="F70" s="660"/>
      <c r="G70" s="660"/>
      <c r="H70" s="660"/>
      <c r="I70" s="660"/>
      <c r="J70" s="661"/>
      <c r="K70" s="18" t="s">
        <v>14</v>
      </c>
      <c r="L70" s="572">
        <f>CENIK_št_1!K76</f>
        <v>45.263871642320417</v>
      </c>
      <c r="M70" s="34">
        <v>44.84292849542414</v>
      </c>
      <c r="N70" s="194">
        <f>(L70/M70*100)</f>
        <v>100.93870574697019</v>
      </c>
      <c r="O70" s="59"/>
      <c r="P70" s="59"/>
    </row>
    <row r="71" spans="1:16" x14ac:dyDescent="0.25">
      <c r="A71" s="40"/>
      <c r="B71" s="359" t="s">
        <v>54</v>
      </c>
      <c r="C71" s="660" t="s">
        <v>43</v>
      </c>
      <c r="D71" s="660"/>
      <c r="E71" s="660"/>
      <c r="F71" s="660"/>
      <c r="G71" s="660"/>
      <c r="H71" s="660"/>
      <c r="I71" s="660"/>
      <c r="J71" s="661"/>
      <c r="K71" s="18" t="s">
        <v>14</v>
      </c>
      <c r="L71" s="572">
        <f>KALKULACIJA_CENIK_št_1!I392</f>
        <v>35.062596642320408</v>
      </c>
      <c r="M71" s="34">
        <v>34.641653495424137</v>
      </c>
      <c r="N71" s="194">
        <f t="shared" ref="N71:N85" si="5">(L71/M71*100)</f>
        <v>101.21513583914772</v>
      </c>
      <c r="O71" s="59"/>
      <c r="P71" s="59"/>
    </row>
    <row r="72" spans="1:16" x14ac:dyDescent="0.25">
      <c r="A72" s="40"/>
      <c r="B72" s="361" t="s">
        <v>55</v>
      </c>
      <c r="C72" s="660" t="s">
        <v>44</v>
      </c>
      <c r="D72" s="660"/>
      <c r="E72" s="660"/>
      <c r="F72" s="660"/>
      <c r="G72" s="660"/>
      <c r="H72" s="660"/>
      <c r="I72" s="660"/>
      <c r="J72" s="661"/>
      <c r="K72" s="18" t="s">
        <v>14</v>
      </c>
      <c r="L72" s="572">
        <f>CENIK_št_1!K78</f>
        <v>78.361184142320411</v>
      </c>
      <c r="M72" s="34">
        <v>77.940240995424148</v>
      </c>
      <c r="N72" s="194">
        <f t="shared" si="5"/>
        <v>100.54008448205975</v>
      </c>
      <c r="O72" s="59"/>
      <c r="P72" s="59"/>
    </row>
    <row r="73" spans="1:16" x14ac:dyDescent="0.25">
      <c r="A73" s="40"/>
      <c r="B73" s="359" t="s">
        <v>56</v>
      </c>
      <c r="C73" s="654" t="s">
        <v>49</v>
      </c>
      <c r="D73" s="654"/>
      <c r="E73" s="654"/>
      <c r="F73" s="654"/>
      <c r="G73" s="654"/>
      <c r="H73" s="654"/>
      <c r="I73" s="654"/>
      <c r="J73" s="947"/>
      <c r="K73" s="542" t="s">
        <v>14</v>
      </c>
      <c r="L73" s="583">
        <f>KALKULACIJA_CENIK_št_1!I419</f>
        <v>34.364515160838934</v>
      </c>
      <c r="M73" s="539">
        <v>33.943572013942664</v>
      </c>
      <c r="N73" s="195">
        <f t="shared" si="5"/>
        <v>101.24012625048231</v>
      </c>
      <c r="O73" s="59"/>
      <c r="P73" s="59"/>
    </row>
    <row r="74" spans="1:16" x14ac:dyDescent="0.25">
      <c r="A74" s="40"/>
      <c r="B74" s="567" t="s">
        <v>58</v>
      </c>
      <c r="C74" s="676" t="s">
        <v>648</v>
      </c>
      <c r="D74" s="676"/>
      <c r="E74" s="676"/>
      <c r="F74" s="676"/>
      <c r="G74" s="676"/>
      <c r="H74" s="676"/>
      <c r="I74" s="676"/>
      <c r="J74" s="670"/>
      <c r="K74" s="553" t="s">
        <v>14</v>
      </c>
      <c r="L74" s="559">
        <v>37.4</v>
      </c>
      <c r="M74" s="37">
        <v>37.4</v>
      </c>
      <c r="N74" s="560">
        <f t="shared" si="5"/>
        <v>100</v>
      </c>
      <c r="O74" s="59"/>
      <c r="P74" s="59"/>
    </row>
    <row r="75" spans="1:16" x14ac:dyDescent="0.25">
      <c r="A75" s="40"/>
      <c r="B75" s="567" t="s">
        <v>580</v>
      </c>
      <c r="C75" s="676" t="s">
        <v>589</v>
      </c>
      <c r="D75" s="676"/>
      <c r="E75" s="676"/>
      <c r="F75" s="676"/>
      <c r="G75" s="676"/>
      <c r="H75" s="676"/>
      <c r="I75" s="676"/>
      <c r="J75" s="670"/>
      <c r="K75" s="553" t="s">
        <v>14</v>
      </c>
      <c r="L75" s="559">
        <v>46.2</v>
      </c>
      <c r="M75" s="37">
        <v>46.2</v>
      </c>
      <c r="N75" s="195">
        <f t="shared" si="5"/>
        <v>100</v>
      </c>
      <c r="O75" s="59"/>
      <c r="P75" s="59"/>
    </row>
    <row r="76" spans="1:16" x14ac:dyDescent="0.25">
      <c r="A76" s="40"/>
      <c r="B76" s="567" t="s">
        <v>587</v>
      </c>
      <c r="C76" s="676" t="s">
        <v>590</v>
      </c>
      <c r="D76" s="676"/>
      <c r="E76" s="676"/>
      <c r="F76" s="676"/>
      <c r="G76" s="676"/>
      <c r="H76" s="676"/>
      <c r="I76" s="676"/>
      <c r="J76" s="670"/>
      <c r="K76" s="553" t="s">
        <v>14</v>
      </c>
      <c r="L76" s="559">
        <v>33</v>
      </c>
      <c r="M76" s="37">
        <v>33</v>
      </c>
      <c r="N76" s="195">
        <f t="shared" si="5"/>
        <v>100</v>
      </c>
      <c r="O76" s="59"/>
      <c r="P76" s="59"/>
    </row>
    <row r="77" spans="1:16" x14ac:dyDescent="0.25">
      <c r="A77" s="40"/>
      <c r="B77" s="567" t="s">
        <v>591</v>
      </c>
      <c r="C77" s="676" t="s">
        <v>592</v>
      </c>
      <c r="D77" s="676"/>
      <c r="E77" s="676"/>
      <c r="F77" s="676"/>
      <c r="G77" s="676"/>
      <c r="H77" s="676"/>
      <c r="I77" s="676"/>
      <c r="J77" s="670"/>
      <c r="K77" s="553" t="s">
        <v>14</v>
      </c>
      <c r="L77" s="559">
        <v>40.700000000000003</v>
      </c>
      <c r="M77" s="37">
        <v>40.700000000000003</v>
      </c>
      <c r="N77" s="195">
        <f t="shared" si="5"/>
        <v>100</v>
      </c>
      <c r="O77" s="59"/>
      <c r="P77" s="59"/>
    </row>
    <row r="78" spans="1:16" x14ac:dyDescent="0.25">
      <c r="A78" s="40"/>
      <c r="B78" s="567" t="s">
        <v>593</v>
      </c>
      <c r="C78" s="676" t="s">
        <v>594</v>
      </c>
      <c r="D78" s="676"/>
      <c r="E78" s="676"/>
      <c r="F78" s="676"/>
      <c r="G78" s="676"/>
      <c r="H78" s="676"/>
      <c r="I78" s="676"/>
      <c r="J78" s="670"/>
      <c r="K78" s="553" t="s">
        <v>14</v>
      </c>
      <c r="L78" s="559">
        <v>44</v>
      </c>
      <c r="M78" s="37">
        <v>44</v>
      </c>
      <c r="N78" s="195">
        <f t="shared" si="5"/>
        <v>100</v>
      </c>
      <c r="O78" s="59"/>
      <c r="P78" s="59"/>
    </row>
    <row r="79" spans="1:16" x14ac:dyDescent="0.25">
      <c r="A79" s="40"/>
      <c r="B79" s="567" t="s">
        <v>70</v>
      </c>
      <c r="C79" s="676" t="s">
        <v>595</v>
      </c>
      <c r="D79" s="676"/>
      <c r="E79" s="676"/>
      <c r="F79" s="676"/>
      <c r="G79" s="676"/>
      <c r="H79" s="676"/>
      <c r="I79" s="676"/>
      <c r="J79" s="670"/>
      <c r="K79" s="553" t="s">
        <v>14</v>
      </c>
      <c r="L79" s="559">
        <v>59.4</v>
      </c>
      <c r="M79" s="37">
        <v>59.4</v>
      </c>
      <c r="N79" s="195">
        <f t="shared" si="5"/>
        <v>100</v>
      </c>
      <c r="O79" s="59"/>
      <c r="P79" s="59"/>
    </row>
    <row r="80" spans="1:16" x14ac:dyDescent="0.25">
      <c r="A80" s="40"/>
      <c r="B80" s="567" t="s">
        <v>597</v>
      </c>
      <c r="C80" s="676" t="s">
        <v>596</v>
      </c>
      <c r="D80" s="676"/>
      <c r="E80" s="676"/>
      <c r="F80" s="676"/>
      <c r="G80" s="676"/>
      <c r="H80" s="676"/>
      <c r="I80" s="676"/>
      <c r="J80" s="670"/>
      <c r="K80" s="553" t="s">
        <v>14</v>
      </c>
      <c r="L80" s="559">
        <v>59.4</v>
      </c>
      <c r="M80" s="37">
        <v>59.4</v>
      </c>
      <c r="N80" s="195">
        <f t="shared" si="5"/>
        <v>100</v>
      </c>
      <c r="O80" s="59"/>
      <c r="P80" s="59"/>
    </row>
    <row r="81" spans="1:16" x14ac:dyDescent="0.25">
      <c r="A81" s="40"/>
      <c r="B81" s="567" t="s">
        <v>90</v>
      </c>
      <c r="C81" s="676" t="s">
        <v>598</v>
      </c>
      <c r="D81" s="676"/>
      <c r="E81" s="676"/>
      <c r="F81" s="676"/>
      <c r="G81" s="676"/>
      <c r="H81" s="676"/>
      <c r="I81" s="676"/>
      <c r="J81" s="670"/>
      <c r="K81" s="553" t="s">
        <v>14</v>
      </c>
      <c r="L81" s="559">
        <v>33</v>
      </c>
      <c r="M81" s="37">
        <v>33</v>
      </c>
      <c r="N81" s="195">
        <f t="shared" si="5"/>
        <v>100</v>
      </c>
      <c r="O81" s="59"/>
      <c r="P81" s="59"/>
    </row>
    <row r="82" spans="1:16" x14ac:dyDescent="0.25">
      <c r="A82" s="40"/>
      <c r="B82" s="567" t="s">
        <v>599</v>
      </c>
      <c r="C82" s="676" t="s">
        <v>601</v>
      </c>
      <c r="D82" s="676"/>
      <c r="E82" s="676"/>
      <c r="F82" s="676"/>
      <c r="G82" s="676"/>
      <c r="H82" s="676"/>
      <c r="I82" s="676"/>
      <c r="J82" s="670"/>
      <c r="K82" s="553" t="s">
        <v>14</v>
      </c>
      <c r="L82" s="559">
        <v>38.5</v>
      </c>
      <c r="M82" s="37">
        <v>38.5</v>
      </c>
      <c r="N82" s="195">
        <f t="shared" si="5"/>
        <v>100</v>
      </c>
      <c r="O82" s="59"/>
      <c r="P82" s="59"/>
    </row>
    <row r="83" spans="1:16" x14ac:dyDescent="0.25">
      <c r="A83" s="40"/>
      <c r="B83" s="567" t="s">
        <v>91</v>
      </c>
      <c r="C83" s="676" t="s">
        <v>602</v>
      </c>
      <c r="D83" s="676"/>
      <c r="E83" s="676"/>
      <c r="F83" s="676"/>
      <c r="G83" s="676"/>
      <c r="H83" s="676"/>
      <c r="I83" s="676"/>
      <c r="J83" s="670"/>
      <c r="K83" s="553" t="s">
        <v>14</v>
      </c>
      <c r="L83" s="559">
        <v>38.5</v>
      </c>
      <c r="M83" s="37">
        <v>38.5</v>
      </c>
      <c r="N83" s="195">
        <f t="shared" si="5"/>
        <v>100</v>
      </c>
      <c r="O83" s="59"/>
      <c r="P83" s="59"/>
    </row>
    <row r="84" spans="1:16" x14ac:dyDescent="0.25">
      <c r="A84" s="40"/>
      <c r="B84" s="567" t="s">
        <v>600</v>
      </c>
      <c r="C84" s="676" t="s">
        <v>603</v>
      </c>
      <c r="D84" s="676"/>
      <c r="E84" s="676"/>
      <c r="F84" s="676"/>
      <c r="G84" s="676"/>
      <c r="H84" s="676"/>
      <c r="I84" s="676"/>
      <c r="J84" s="670"/>
      <c r="K84" s="553" t="s">
        <v>14</v>
      </c>
      <c r="L84" s="559">
        <v>11</v>
      </c>
      <c r="M84" s="37">
        <v>11</v>
      </c>
      <c r="N84" s="195">
        <f t="shared" si="5"/>
        <v>100</v>
      </c>
      <c r="O84" s="59"/>
      <c r="P84" s="59"/>
    </row>
    <row r="85" spans="1:16" ht="15.75" thickBot="1" x14ac:dyDescent="0.3">
      <c r="A85" s="40"/>
      <c r="B85" s="568" t="s">
        <v>654</v>
      </c>
      <c r="C85" s="676" t="s">
        <v>604</v>
      </c>
      <c r="D85" s="676"/>
      <c r="E85" s="676"/>
      <c r="F85" s="676"/>
      <c r="G85" s="676"/>
      <c r="H85" s="676"/>
      <c r="I85" s="676"/>
      <c r="J85" s="670"/>
      <c r="K85" s="553" t="s">
        <v>14</v>
      </c>
      <c r="L85" s="559">
        <v>13.2</v>
      </c>
      <c r="M85" s="37">
        <v>13.2</v>
      </c>
      <c r="N85" s="195">
        <f t="shared" si="5"/>
        <v>100</v>
      </c>
      <c r="O85" s="59"/>
      <c r="P85" s="59"/>
    </row>
    <row r="86" spans="1:16" ht="15.75" thickBot="1" x14ac:dyDescent="0.3">
      <c r="A86" s="40"/>
      <c r="B86" s="40"/>
      <c r="C86" s="57"/>
      <c r="D86" s="57"/>
      <c r="E86" s="57"/>
      <c r="F86" s="57"/>
      <c r="G86" s="57"/>
      <c r="H86" s="57"/>
      <c r="I86" s="57"/>
      <c r="J86" s="944" t="s">
        <v>572</v>
      </c>
      <c r="K86" s="946"/>
      <c r="L86" s="946"/>
      <c r="M86" s="945"/>
      <c r="N86" s="544">
        <f>SUM(N70:N85)/16</f>
        <v>100.24587826991625</v>
      </c>
      <c r="O86" s="59"/>
      <c r="P86" s="59"/>
    </row>
    <row r="87" spans="1:16" ht="15.75" thickBot="1" x14ac:dyDescent="0.3">
      <c r="A87" s="605"/>
      <c r="B87" s="22"/>
      <c r="C87" s="23"/>
      <c r="D87" s="23"/>
      <c r="E87" s="23"/>
      <c r="F87" s="23"/>
      <c r="G87" s="23"/>
      <c r="H87" s="23"/>
      <c r="I87" s="23"/>
      <c r="J87" s="23"/>
      <c r="K87" s="24"/>
      <c r="L87" s="582"/>
      <c r="M87" s="38"/>
      <c r="N87" s="197"/>
    </row>
    <row r="88" spans="1:16" ht="15.75" thickBot="1" x14ac:dyDescent="0.3">
      <c r="A88" s="602"/>
      <c r="B88" s="50" t="s">
        <v>77</v>
      </c>
      <c r="C88" s="664" t="s">
        <v>175</v>
      </c>
      <c r="D88" s="664"/>
      <c r="E88" s="664"/>
      <c r="F88" s="664"/>
      <c r="G88" s="664"/>
      <c r="H88" s="664"/>
      <c r="I88" s="664"/>
      <c r="J88" s="665"/>
      <c r="K88" s="50" t="s">
        <v>10</v>
      </c>
      <c r="L88" s="469" t="s">
        <v>11</v>
      </c>
      <c r="M88" s="51" t="s">
        <v>11</v>
      </c>
      <c r="N88" s="438"/>
    </row>
    <row r="89" spans="1:16" x14ac:dyDescent="0.25">
      <c r="A89" s="603"/>
      <c r="B89" s="361" t="s">
        <v>78</v>
      </c>
      <c r="C89" s="654" t="s">
        <v>337</v>
      </c>
      <c r="D89" s="654"/>
      <c r="E89" s="654"/>
      <c r="F89" s="654"/>
      <c r="G89" s="654"/>
      <c r="H89" s="654"/>
      <c r="I89" s="654"/>
      <c r="J89" s="655"/>
      <c r="K89" s="18" t="s">
        <v>14</v>
      </c>
      <c r="L89" s="552">
        <f>KALKULACIJA_CENIK_št_1!H431</f>
        <v>14.38234375</v>
      </c>
      <c r="M89" s="34">
        <v>14.38234375</v>
      </c>
      <c r="N89" s="194">
        <f>(L89/M89*100)</f>
        <v>100</v>
      </c>
    </row>
    <row r="90" spans="1:16" x14ac:dyDescent="0.25">
      <c r="A90" s="601"/>
      <c r="B90" s="361" t="s">
        <v>79</v>
      </c>
      <c r="C90" s="654" t="s">
        <v>338</v>
      </c>
      <c r="D90" s="654"/>
      <c r="E90" s="654"/>
      <c r="F90" s="654"/>
      <c r="G90" s="654"/>
      <c r="H90" s="654"/>
      <c r="I90" s="654"/>
      <c r="J90" s="655"/>
      <c r="K90" s="18" t="s">
        <v>14</v>
      </c>
      <c r="L90" s="552">
        <f>KALKULACIJA_CENIK_št_1!H442</f>
        <v>9.2531250000000007</v>
      </c>
      <c r="M90" s="34">
        <v>9.2531250000000007</v>
      </c>
      <c r="N90" s="194">
        <f t="shared" ref="N90:N99" si="6">(L90/M90*100)</f>
        <v>100</v>
      </c>
    </row>
    <row r="91" spans="1:16" x14ac:dyDescent="0.25">
      <c r="A91" s="601"/>
      <c r="B91" s="361" t="s">
        <v>80</v>
      </c>
      <c r="C91" s="654" t="s">
        <v>355</v>
      </c>
      <c r="D91" s="654"/>
      <c r="E91" s="654"/>
      <c r="F91" s="654"/>
      <c r="G91" s="654"/>
      <c r="H91" s="654"/>
      <c r="I91" s="654"/>
      <c r="J91" s="655"/>
      <c r="K91" s="18" t="s">
        <v>14</v>
      </c>
      <c r="L91" s="552">
        <f>KALKULACIJA_CENIK_št_1!H453</f>
        <v>12.369374999999998</v>
      </c>
      <c r="M91" s="34">
        <v>12.369374999999998</v>
      </c>
      <c r="N91" s="194">
        <f t="shared" si="6"/>
        <v>100</v>
      </c>
    </row>
    <row r="92" spans="1:16" x14ac:dyDescent="0.25">
      <c r="A92" s="601"/>
      <c r="B92" s="361" t="s">
        <v>80</v>
      </c>
      <c r="C92" s="654" t="s">
        <v>356</v>
      </c>
      <c r="D92" s="654"/>
      <c r="E92" s="654"/>
      <c r="F92" s="654"/>
      <c r="G92" s="654"/>
      <c r="H92" s="654"/>
      <c r="I92" s="654"/>
      <c r="J92" s="655"/>
      <c r="K92" s="18" t="s">
        <v>14</v>
      </c>
      <c r="L92" s="552">
        <f>CENIK_št_1!K98</f>
        <v>8.1037500000000016</v>
      </c>
      <c r="M92" s="34">
        <v>8.1037500000000016</v>
      </c>
      <c r="N92" s="194">
        <f t="shared" si="6"/>
        <v>100</v>
      </c>
    </row>
    <row r="93" spans="1:16" x14ac:dyDescent="0.25">
      <c r="A93" s="601"/>
      <c r="B93" s="361" t="s">
        <v>81</v>
      </c>
      <c r="C93" s="654" t="s">
        <v>23</v>
      </c>
      <c r="D93" s="654"/>
      <c r="E93" s="654"/>
      <c r="F93" s="654"/>
      <c r="G93" s="654"/>
      <c r="H93" s="654"/>
      <c r="I93" s="654"/>
      <c r="J93" s="655"/>
      <c r="K93" s="18" t="s">
        <v>14</v>
      </c>
      <c r="L93" s="552">
        <f>KALKULACIJA_CENIK_št_1!H475</f>
        <v>26.975277777777777</v>
      </c>
      <c r="M93" s="34">
        <v>26.975277777777777</v>
      </c>
      <c r="N93" s="194">
        <f t="shared" si="6"/>
        <v>100</v>
      </c>
    </row>
    <row r="94" spans="1:16" x14ac:dyDescent="0.25">
      <c r="A94" s="601"/>
      <c r="B94" s="361" t="s">
        <v>82</v>
      </c>
      <c r="C94" s="660" t="s">
        <v>22</v>
      </c>
      <c r="D94" s="660"/>
      <c r="E94" s="660"/>
      <c r="F94" s="660"/>
      <c r="G94" s="660"/>
      <c r="H94" s="660"/>
      <c r="I94" s="660"/>
      <c r="J94" s="661"/>
      <c r="K94" s="18" t="s">
        <v>14</v>
      </c>
      <c r="L94" s="552">
        <f>KALKULACIJA_CENIK_št_1!H487</f>
        <v>9.2000000000000011</v>
      </c>
      <c r="M94" s="34">
        <v>9.2000000000000011</v>
      </c>
      <c r="N94" s="194">
        <f t="shared" si="6"/>
        <v>100</v>
      </c>
    </row>
    <row r="95" spans="1:16" x14ac:dyDescent="0.25">
      <c r="A95" s="601"/>
      <c r="B95" s="361" t="s">
        <v>83</v>
      </c>
      <c r="C95" s="654" t="s">
        <v>233</v>
      </c>
      <c r="D95" s="654"/>
      <c r="E95" s="654"/>
      <c r="F95" s="654"/>
      <c r="G95" s="654"/>
      <c r="H95" s="654"/>
      <c r="I95" s="654"/>
      <c r="J95" s="655"/>
      <c r="K95" s="18" t="s">
        <v>14</v>
      </c>
      <c r="L95" s="552">
        <f>KALKULACIJA_CENIK_št_1!H498</f>
        <v>18.878125000000001</v>
      </c>
      <c r="M95" s="34">
        <v>18.878125000000001</v>
      </c>
      <c r="N95" s="194">
        <f t="shared" si="6"/>
        <v>100</v>
      </c>
    </row>
    <row r="96" spans="1:16" x14ac:dyDescent="0.25">
      <c r="A96" s="601"/>
      <c r="B96" s="361" t="s">
        <v>84</v>
      </c>
      <c r="C96" s="654" t="s">
        <v>331</v>
      </c>
      <c r="D96" s="654"/>
      <c r="E96" s="654"/>
      <c r="F96" s="654"/>
      <c r="G96" s="654"/>
      <c r="H96" s="654"/>
      <c r="I96" s="654"/>
      <c r="J96" s="655"/>
      <c r="K96" s="18" t="s">
        <v>14</v>
      </c>
      <c r="L96" s="552">
        <f>KALKULACIJA_CENIK_št_1!H509</f>
        <v>2.8875000000000002</v>
      </c>
      <c r="M96" s="34">
        <v>2.8875000000000002</v>
      </c>
      <c r="N96" s="194">
        <f t="shared" si="6"/>
        <v>100</v>
      </c>
    </row>
    <row r="97" spans="1:14" x14ac:dyDescent="0.25">
      <c r="A97" s="601"/>
      <c r="B97" s="361" t="s">
        <v>85</v>
      </c>
      <c r="C97" s="654" t="s">
        <v>332</v>
      </c>
      <c r="D97" s="654"/>
      <c r="E97" s="654"/>
      <c r="F97" s="654"/>
      <c r="G97" s="654"/>
      <c r="H97" s="654"/>
      <c r="I97" s="654"/>
      <c r="J97" s="655"/>
      <c r="K97" s="18" t="s">
        <v>14</v>
      </c>
      <c r="L97" s="552">
        <f>KALKULACIJA_CENIK_št_1!H520</f>
        <v>7.1250000000000009</v>
      </c>
      <c r="M97" s="34">
        <v>7.1250000000000009</v>
      </c>
      <c r="N97" s="194">
        <f t="shared" si="6"/>
        <v>100</v>
      </c>
    </row>
    <row r="98" spans="1:14" x14ac:dyDescent="0.25">
      <c r="A98" s="601"/>
      <c r="B98" s="361" t="s">
        <v>495</v>
      </c>
      <c r="C98" s="654" t="str">
        <f>CENIK_št_1!B104</f>
        <v>Plug planer, nakladalec traktorski</v>
      </c>
      <c r="D98" s="654"/>
      <c r="E98" s="654"/>
      <c r="F98" s="654"/>
      <c r="G98" s="654"/>
      <c r="H98" s="654"/>
      <c r="I98" s="654"/>
      <c r="J98" s="655"/>
      <c r="K98" s="18" t="s">
        <v>14</v>
      </c>
      <c r="L98" s="552">
        <f>CENIK_št_1!K104</f>
        <v>9.9749999999999996</v>
      </c>
      <c r="M98" s="34">
        <v>9.9749999999999996</v>
      </c>
      <c r="N98" s="194">
        <f t="shared" si="6"/>
        <v>100</v>
      </c>
    </row>
    <row r="99" spans="1:14" ht="15.75" thickBot="1" x14ac:dyDescent="0.3">
      <c r="A99" s="601"/>
      <c r="B99" s="570" t="s">
        <v>605</v>
      </c>
      <c r="C99" s="676" t="s">
        <v>606</v>
      </c>
      <c r="D99" s="676"/>
      <c r="E99" s="676"/>
      <c r="F99" s="676"/>
      <c r="G99" s="676"/>
      <c r="H99" s="676"/>
      <c r="I99" s="676"/>
      <c r="J99" s="670"/>
      <c r="K99" s="551" t="s">
        <v>14</v>
      </c>
      <c r="L99" s="552">
        <v>60.5</v>
      </c>
      <c r="M99" s="39">
        <v>60.5</v>
      </c>
      <c r="N99" s="194">
        <f t="shared" si="6"/>
        <v>100</v>
      </c>
    </row>
    <row r="100" spans="1:14" ht="15.75" thickBot="1" x14ac:dyDescent="0.3">
      <c r="A100" s="601"/>
      <c r="B100" s="40"/>
      <c r="C100" s="57"/>
      <c r="D100" s="57"/>
      <c r="E100" s="57"/>
      <c r="F100" s="57"/>
      <c r="G100" s="57"/>
      <c r="H100" s="57"/>
      <c r="I100" s="57"/>
      <c r="J100" s="944" t="s">
        <v>573</v>
      </c>
      <c r="K100" s="946"/>
      <c r="L100" s="946"/>
      <c r="M100" s="945"/>
      <c r="N100" s="544">
        <f>SUM(N89:N99)/11</f>
        <v>100</v>
      </c>
    </row>
    <row r="101" spans="1:14" ht="15.75" thickBot="1" x14ac:dyDescent="0.3">
      <c r="A101" s="565"/>
      <c r="B101" s="4"/>
      <c r="L101" s="530"/>
      <c r="M101" s="39"/>
      <c r="N101" s="198"/>
    </row>
    <row r="102" spans="1:14" ht="15.75" thickBot="1" x14ac:dyDescent="0.3">
      <c r="A102" s="602"/>
      <c r="B102" s="50" t="s">
        <v>92</v>
      </c>
      <c r="C102" s="664" t="s">
        <v>51</v>
      </c>
      <c r="D102" s="664"/>
      <c r="E102" s="664"/>
      <c r="F102" s="664"/>
      <c r="G102" s="664"/>
      <c r="H102" s="664"/>
      <c r="I102" s="664"/>
      <c r="J102" s="665"/>
      <c r="K102" s="50" t="s">
        <v>10</v>
      </c>
      <c r="L102" s="469" t="s">
        <v>11</v>
      </c>
      <c r="M102" s="51" t="s">
        <v>11</v>
      </c>
      <c r="N102" s="438"/>
    </row>
    <row r="103" spans="1:14" x14ac:dyDescent="0.25">
      <c r="A103" s="603"/>
      <c r="B103" s="361" t="s">
        <v>93</v>
      </c>
      <c r="C103" s="654" t="s">
        <v>53</v>
      </c>
      <c r="D103" s="654"/>
      <c r="E103" s="654"/>
      <c r="F103" s="654"/>
      <c r="G103" s="654"/>
      <c r="H103" s="654"/>
      <c r="I103" s="654"/>
      <c r="J103" s="655"/>
      <c r="K103" s="18" t="s">
        <v>14</v>
      </c>
      <c r="L103" s="552">
        <f>KALKULACIJA_CENIK_št_1!I544</f>
        <v>14.994</v>
      </c>
      <c r="M103" s="34">
        <v>14.994</v>
      </c>
      <c r="N103" s="194">
        <f>(L103/M103*100)</f>
        <v>100</v>
      </c>
    </row>
    <row r="104" spans="1:14" x14ac:dyDescent="0.25">
      <c r="A104" s="603"/>
      <c r="B104" s="359" t="s">
        <v>94</v>
      </c>
      <c r="C104" s="655" t="s">
        <v>234</v>
      </c>
      <c r="D104" s="662"/>
      <c r="E104" s="662"/>
      <c r="F104" s="662"/>
      <c r="G104" s="662"/>
      <c r="H104" s="662"/>
      <c r="I104" s="662"/>
      <c r="J104" s="662"/>
      <c r="K104" s="25" t="s">
        <v>14</v>
      </c>
      <c r="L104" s="554">
        <f>KALKULACIJA_CENIK_št_1!I556</f>
        <v>22.137640350877192</v>
      </c>
      <c r="M104" s="37">
        <v>22.137640350877192</v>
      </c>
      <c r="N104" s="194">
        <f t="shared" ref="N104:N127" si="7">(L104/M104*100)</f>
        <v>100</v>
      </c>
    </row>
    <row r="105" spans="1:14" x14ac:dyDescent="0.25">
      <c r="A105" s="603"/>
      <c r="B105" s="361" t="s">
        <v>95</v>
      </c>
      <c r="C105" s="655" t="s">
        <v>69</v>
      </c>
      <c r="D105" s="662"/>
      <c r="E105" s="662"/>
      <c r="F105" s="662"/>
      <c r="G105" s="662"/>
      <c r="H105" s="662"/>
      <c r="I105" s="662"/>
      <c r="J105" s="662"/>
      <c r="K105" s="25" t="s">
        <v>14</v>
      </c>
      <c r="L105" s="554">
        <f>KALKULACIJA_CENIK_št_1!I569</f>
        <v>8.6199750000000002</v>
      </c>
      <c r="M105" s="37">
        <v>8.6199750000000002</v>
      </c>
      <c r="N105" s="194">
        <f t="shared" si="7"/>
        <v>100</v>
      </c>
    </row>
    <row r="106" spans="1:14" x14ac:dyDescent="0.25">
      <c r="A106" s="603"/>
      <c r="B106" s="359" t="s">
        <v>96</v>
      </c>
      <c r="C106" s="655" t="s">
        <v>57</v>
      </c>
      <c r="D106" s="662"/>
      <c r="E106" s="662"/>
      <c r="F106" s="662"/>
      <c r="G106" s="662"/>
      <c r="H106" s="662"/>
      <c r="I106" s="662"/>
      <c r="J106" s="662"/>
      <c r="K106" s="25" t="s">
        <v>14</v>
      </c>
      <c r="L106" s="554">
        <f>KALKULACIJA_CENIK_št_1!I581</f>
        <v>7.8266999999999989</v>
      </c>
      <c r="M106" s="37">
        <v>7.8266999999999989</v>
      </c>
      <c r="N106" s="194">
        <f t="shared" si="7"/>
        <v>100</v>
      </c>
    </row>
    <row r="107" spans="1:14" x14ac:dyDescent="0.25">
      <c r="A107" s="603"/>
      <c r="B107" s="361" t="s">
        <v>97</v>
      </c>
      <c r="C107" s="655" t="s">
        <v>59</v>
      </c>
      <c r="D107" s="662"/>
      <c r="E107" s="662"/>
      <c r="F107" s="662"/>
      <c r="G107" s="662"/>
      <c r="H107" s="662"/>
      <c r="I107" s="662"/>
      <c r="J107" s="662"/>
      <c r="K107" s="25" t="s">
        <v>14</v>
      </c>
      <c r="L107" s="554">
        <f>KALKULACIJA_CENIK_št_1!I593</f>
        <v>7.8266999999999989</v>
      </c>
      <c r="M107" s="37">
        <v>7.8266999999999989</v>
      </c>
      <c r="N107" s="194">
        <f t="shared" si="7"/>
        <v>100</v>
      </c>
    </row>
    <row r="108" spans="1:14" x14ac:dyDescent="0.25">
      <c r="A108" s="603"/>
      <c r="B108" s="359" t="s">
        <v>98</v>
      </c>
      <c r="C108" s="661" t="s">
        <v>60</v>
      </c>
      <c r="D108" s="675"/>
      <c r="E108" s="675"/>
      <c r="F108" s="675"/>
      <c r="G108" s="675"/>
      <c r="H108" s="675"/>
      <c r="I108" s="675"/>
      <c r="J108" s="675"/>
      <c r="K108" s="18" t="s">
        <v>14</v>
      </c>
      <c r="L108" s="552">
        <f>KALKULACIJA_CENIK_št_1!I605</f>
        <v>7.8266999999999989</v>
      </c>
      <c r="M108" s="34">
        <v>7.8266999999999989</v>
      </c>
      <c r="N108" s="194">
        <f t="shared" si="7"/>
        <v>100</v>
      </c>
    </row>
    <row r="109" spans="1:14" x14ac:dyDescent="0.25">
      <c r="A109" s="603"/>
      <c r="B109" s="359" t="s">
        <v>99</v>
      </c>
      <c r="C109" s="654" t="s">
        <v>71</v>
      </c>
      <c r="D109" s="654"/>
      <c r="E109" s="654"/>
      <c r="F109" s="654"/>
      <c r="G109" s="654"/>
      <c r="H109" s="654"/>
      <c r="I109" s="654"/>
      <c r="J109" s="655"/>
      <c r="K109" s="41" t="s">
        <v>14</v>
      </c>
      <c r="L109" s="554">
        <f>KALKULACIJA_CENIK_št_1!I618</f>
        <v>9.6815249999999988</v>
      </c>
      <c r="M109" s="37">
        <v>9.6815249999999988</v>
      </c>
      <c r="N109" s="194">
        <f t="shared" si="7"/>
        <v>100</v>
      </c>
    </row>
    <row r="110" spans="1:14" x14ac:dyDescent="0.25">
      <c r="A110" s="603"/>
      <c r="B110" s="359" t="s">
        <v>100</v>
      </c>
      <c r="C110" s="654" t="s">
        <v>72</v>
      </c>
      <c r="D110" s="654"/>
      <c r="E110" s="654"/>
      <c r="F110" s="654"/>
      <c r="G110" s="654"/>
      <c r="H110" s="654"/>
      <c r="I110" s="654"/>
      <c r="J110" s="655"/>
      <c r="K110" s="41" t="s">
        <v>14</v>
      </c>
      <c r="L110" s="554">
        <f>KALKULACIJA_CENIK_št_1!I630</f>
        <v>9.4057250000000003</v>
      </c>
      <c r="M110" s="37">
        <v>9.4057250000000003</v>
      </c>
      <c r="N110" s="194">
        <f t="shared" si="7"/>
        <v>100</v>
      </c>
    </row>
    <row r="111" spans="1:14" x14ac:dyDescent="0.25">
      <c r="A111" s="603"/>
      <c r="B111" s="361" t="s">
        <v>101</v>
      </c>
      <c r="C111" s="661" t="s">
        <v>423</v>
      </c>
      <c r="D111" s="675"/>
      <c r="E111" s="675"/>
      <c r="F111" s="675"/>
      <c r="G111" s="675"/>
      <c r="H111" s="675"/>
      <c r="I111" s="675"/>
      <c r="J111" s="675"/>
      <c r="K111" s="527" t="s">
        <v>14</v>
      </c>
      <c r="L111" s="552">
        <f>CENIK_št_1!K116</f>
        <v>15.116849999999999</v>
      </c>
      <c r="M111" s="34">
        <v>15.116849999999999</v>
      </c>
      <c r="N111" s="194">
        <f t="shared" si="7"/>
        <v>100</v>
      </c>
    </row>
    <row r="112" spans="1:14" x14ac:dyDescent="0.25">
      <c r="A112" s="603"/>
      <c r="B112" s="361" t="s">
        <v>102</v>
      </c>
      <c r="C112" s="661" t="s">
        <v>61</v>
      </c>
      <c r="D112" s="675"/>
      <c r="E112" s="675"/>
      <c r="F112" s="675"/>
      <c r="G112" s="675"/>
      <c r="H112" s="675"/>
      <c r="I112" s="675"/>
      <c r="J112" s="675"/>
      <c r="K112" s="18" t="s">
        <v>14</v>
      </c>
      <c r="L112" s="552">
        <f>KALKULACIJA_CENIK_št_1!I654</f>
        <v>15.659174999999999</v>
      </c>
      <c r="M112" s="34">
        <v>15.659174999999999</v>
      </c>
      <c r="N112" s="194">
        <f t="shared" si="7"/>
        <v>100</v>
      </c>
    </row>
    <row r="113" spans="1:14" x14ac:dyDescent="0.25">
      <c r="A113" s="603"/>
      <c r="B113" s="359" t="s">
        <v>103</v>
      </c>
      <c r="C113" s="655" t="s">
        <v>64</v>
      </c>
      <c r="D113" s="662"/>
      <c r="E113" s="662"/>
      <c r="F113" s="662"/>
      <c r="G113" s="662"/>
      <c r="H113" s="662"/>
      <c r="I113" s="662"/>
      <c r="J113" s="662"/>
      <c r="K113" s="18" t="s">
        <v>14</v>
      </c>
      <c r="L113" s="552">
        <f>KALKULACIJA_CENIK_št_1!I666</f>
        <v>15.659174999999999</v>
      </c>
      <c r="M113" s="34">
        <v>15.659174999999999</v>
      </c>
      <c r="N113" s="194">
        <f t="shared" si="7"/>
        <v>100</v>
      </c>
    </row>
    <row r="114" spans="1:14" x14ac:dyDescent="0.25">
      <c r="A114" s="603"/>
      <c r="B114" s="361" t="s">
        <v>104</v>
      </c>
      <c r="C114" s="655" t="s">
        <v>236</v>
      </c>
      <c r="D114" s="662"/>
      <c r="E114" s="662"/>
      <c r="F114" s="662"/>
      <c r="G114" s="662"/>
      <c r="H114" s="662"/>
      <c r="I114" s="662"/>
      <c r="J114" s="662"/>
      <c r="K114" s="25" t="s">
        <v>14</v>
      </c>
      <c r="L114" s="554">
        <f>KALKULACIJA_CENIK_št_1!I679</f>
        <v>10.759583333333335</v>
      </c>
      <c r="M114" s="37">
        <v>10.759583333333335</v>
      </c>
      <c r="N114" s="194">
        <f t="shared" si="7"/>
        <v>100</v>
      </c>
    </row>
    <row r="115" spans="1:14" x14ac:dyDescent="0.25">
      <c r="A115" s="603"/>
      <c r="B115" s="359" t="s">
        <v>105</v>
      </c>
      <c r="C115" s="655" t="s">
        <v>62</v>
      </c>
      <c r="D115" s="662"/>
      <c r="E115" s="662"/>
      <c r="F115" s="662"/>
      <c r="G115" s="662"/>
      <c r="H115" s="662"/>
      <c r="I115" s="662"/>
      <c r="J115" s="662"/>
      <c r="K115" s="25" t="s">
        <v>14</v>
      </c>
      <c r="L115" s="554">
        <f>KALKULACIJA_CENIK_št_1!H690</f>
        <v>11.025</v>
      </c>
      <c r="M115" s="37">
        <v>11.025</v>
      </c>
      <c r="N115" s="194">
        <f t="shared" si="7"/>
        <v>100</v>
      </c>
    </row>
    <row r="116" spans="1:14" x14ac:dyDescent="0.25">
      <c r="A116" s="603"/>
      <c r="B116" s="361" t="s">
        <v>106</v>
      </c>
      <c r="C116" s="655" t="s">
        <v>362</v>
      </c>
      <c r="D116" s="662"/>
      <c r="E116" s="662"/>
      <c r="F116" s="662"/>
      <c r="G116" s="662"/>
      <c r="H116" s="662"/>
      <c r="I116" s="662"/>
      <c r="J116" s="662"/>
      <c r="K116" s="25" t="s">
        <v>14</v>
      </c>
      <c r="L116" s="554">
        <f>KALKULACIJA_CENIK_št_1!H701</f>
        <v>14.087500000000002</v>
      </c>
      <c r="M116" s="37">
        <v>14.087500000000002</v>
      </c>
      <c r="N116" s="194">
        <f t="shared" si="7"/>
        <v>100</v>
      </c>
    </row>
    <row r="117" spans="1:14" x14ac:dyDescent="0.25">
      <c r="A117" s="603"/>
      <c r="B117" s="359" t="s">
        <v>107</v>
      </c>
      <c r="C117" s="655" t="s">
        <v>63</v>
      </c>
      <c r="D117" s="662"/>
      <c r="E117" s="662"/>
      <c r="F117" s="662"/>
      <c r="G117" s="662"/>
      <c r="H117" s="662"/>
      <c r="I117" s="662"/>
      <c r="J117" s="662"/>
      <c r="K117" s="25" t="s">
        <v>14</v>
      </c>
      <c r="L117" s="554">
        <f>KALKULACIJA_CENIK_št_1!H712</f>
        <v>8.9833333333333307</v>
      </c>
      <c r="M117" s="37">
        <v>8.9833333333333307</v>
      </c>
      <c r="N117" s="194">
        <f t="shared" si="7"/>
        <v>100</v>
      </c>
    </row>
    <row r="118" spans="1:14" x14ac:dyDescent="0.25">
      <c r="A118" s="603"/>
      <c r="B118" s="361" t="s">
        <v>108</v>
      </c>
      <c r="C118" s="654" t="s">
        <v>235</v>
      </c>
      <c r="D118" s="654"/>
      <c r="E118" s="654"/>
      <c r="F118" s="654"/>
      <c r="G118" s="654"/>
      <c r="H118" s="654"/>
      <c r="I118" s="654"/>
      <c r="J118" s="655"/>
      <c r="K118" s="25" t="s">
        <v>14</v>
      </c>
      <c r="L118" s="554">
        <f>KALKULACIJA_CENIK_št_1!H723</f>
        <v>7.1750000000000007</v>
      </c>
      <c r="M118" s="37">
        <v>7.1750000000000007</v>
      </c>
      <c r="N118" s="194">
        <f t="shared" si="7"/>
        <v>100</v>
      </c>
    </row>
    <row r="119" spans="1:14" x14ac:dyDescent="0.25">
      <c r="A119" s="603"/>
      <c r="B119" s="359" t="s">
        <v>109</v>
      </c>
      <c r="C119" s="661" t="s">
        <v>66</v>
      </c>
      <c r="D119" s="675"/>
      <c r="E119" s="675"/>
      <c r="F119" s="675"/>
      <c r="G119" s="675"/>
      <c r="H119" s="675"/>
      <c r="I119" s="675"/>
      <c r="J119" s="675"/>
      <c r="K119" s="18" t="s">
        <v>14</v>
      </c>
      <c r="L119" s="552">
        <f>KALKULACIJA_CENIK_št_1!H734</f>
        <v>8.0313829787234052</v>
      </c>
      <c r="M119" s="34">
        <v>8.0313829787234052</v>
      </c>
      <c r="N119" s="194">
        <f t="shared" si="7"/>
        <v>100</v>
      </c>
    </row>
    <row r="120" spans="1:14" x14ac:dyDescent="0.25">
      <c r="A120" s="603"/>
      <c r="B120" s="361" t="s">
        <v>110</v>
      </c>
      <c r="C120" s="655" t="s">
        <v>67</v>
      </c>
      <c r="D120" s="662"/>
      <c r="E120" s="662"/>
      <c r="F120" s="662"/>
      <c r="G120" s="662"/>
      <c r="H120" s="662"/>
      <c r="I120" s="662"/>
      <c r="J120" s="662"/>
      <c r="K120" s="18" t="s">
        <v>14</v>
      </c>
      <c r="L120" s="552">
        <f>KALKULACIJA_CENIK_št_1!H745</f>
        <v>8.9833333333333325</v>
      </c>
      <c r="M120" s="34">
        <v>8.9833333333333325</v>
      </c>
      <c r="N120" s="194">
        <f t="shared" si="7"/>
        <v>100</v>
      </c>
    </row>
    <row r="121" spans="1:14" x14ac:dyDescent="0.25">
      <c r="A121" s="603"/>
      <c r="B121" s="359" t="s">
        <v>111</v>
      </c>
      <c r="C121" s="655" t="s">
        <v>74</v>
      </c>
      <c r="D121" s="662"/>
      <c r="E121" s="662"/>
      <c r="F121" s="662"/>
      <c r="G121" s="662"/>
      <c r="H121" s="662"/>
      <c r="I121" s="662"/>
      <c r="J121" s="662"/>
      <c r="K121" s="18" t="s">
        <v>75</v>
      </c>
      <c r="L121" s="552">
        <f>CENIK_št_1!K126</f>
        <v>6.6894570825482713</v>
      </c>
      <c r="M121" s="34">
        <v>6.6072729443447127</v>
      </c>
      <c r="N121" s="194">
        <f t="shared" si="7"/>
        <v>101.24384354779686</v>
      </c>
    </row>
    <row r="122" spans="1:14" x14ac:dyDescent="0.25">
      <c r="A122" s="603"/>
      <c r="B122" s="361" t="s">
        <v>112</v>
      </c>
      <c r="C122" s="655" t="s">
        <v>68</v>
      </c>
      <c r="D122" s="662"/>
      <c r="E122" s="662"/>
      <c r="F122" s="662"/>
      <c r="G122" s="662"/>
      <c r="H122" s="662"/>
      <c r="I122" s="662"/>
      <c r="J122" s="662"/>
      <c r="K122" s="25" t="s">
        <v>14</v>
      </c>
      <c r="L122" s="554">
        <f>CENIK_št_1!K127</f>
        <v>9.0321428571428566</v>
      </c>
      <c r="M122" s="37">
        <v>9.0321428571428566</v>
      </c>
      <c r="N122" s="194">
        <f t="shared" si="7"/>
        <v>100</v>
      </c>
    </row>
    <row r="123" spans="1:14" x14ac:dyDescent="0.25">
      <c r="A123" s="603"/>
      <c r="B123" s="359" t="s">
        <v>488</v>
      </c>
      <c r="C123" s="655" t="str">
        <f>CENIK_št_1!B128</f>
        <v>Snemalna naprava za snemanje cevnih sistemov</v>
      </c>
      <c r="D123" s="662"/>
      <c r="E123" s="662"/>
      <c r="F123" s="662"/>
      <c r="G123" s="662"/>
      <c r="H123" s="662"/>
      <c r="I123" s="662"/>
      <c r="J123" s="662"/>
      <c r="K123" s="25" t="s">
        <v>14</v>
      </c>
      <c r="L123" s="554">
        <f>CENIK_št_1!K128</f>
        <v>26.8</v>
      </c>
      <c r="M123" s="37">
        <v>26.8</v>
      </c>
      <c r="N123" s="194">
        <f t="shared" si="7"/>
        <v>100</v>
      </c>
    </row>
    <row r="124" spans="1:14" x14ac:dyDescent="0.25">
      <c r="A124" s="603"/>
      <c r="B124" s="359" t="s">
        <v>499</v>
      </c>
      <c r="C124" s="655" t="str">
        <f>CENIK_št_1!B129</f>
        <v>Električni stroj za čiščenje odtočnih cevi Ridgid</v>
      </c>
      <c r="D124" s="662"/>
      <c r="E124" s="662"/>
      <c r="F124" s="662"/>
      <c r="G124" s="662"/>
      <c r="H124" s="662"/>
      <c r="I124" s="662"/>
      <c r="J124" s="662"/>
      <c r="K124" s="25" t="s">
        <v>14</v>
      </c>
      <c r="L124" s="554">
        <f>CENIK_št_1!K129</f>
        <v>17.675000000000004</v>
      </c>
      <c r="M124" s="37">
        <v>17.675000000000004</v>
      </c>
      <c r="N124" s="194">
        <f t="shared" si="7"/>
        <v>100</v>
      </c>
    </row>
    <row r="125" spans="1:14" x14ac:dyDescent="0.25">
      <c r="A125" s="603"/>
      <c r="B125" s="567" t="s">
        <v>607</v>
      </c>
      <c r="C125" s="670" t="s">
        <v>608</v>
      </c>
      <c r="D125" s="671"/>
      <c r="E125" s="671"/>
      <c r="F125" s="671"/>
      <c r="G125" s="671"/>
      <c r="H125" s="671"/>
      <c r="I125" s="671"/>
      <c r="J125" s="671"/>
      <c r="K125" s="553" t="s">
        <v>14</v>
      </c>
      <c r="L125" s="554">
        <v>26.4</v>
      </c>
      <c r="M125" s="37">
        <v>26.4</v>
      </c>
      <c r="N125" s="194">
        <f t="shared" si="7"/>
        <v>100</v>
      </c>
    </row>
    <row r="126" spans="1:14" x14ac:dyDescent="0.25">
      <c r="A126" s="603"/>
      <c r="B126" s="567" t="s">
        <v>610</v>
      </c>
      <c r="C126" s="670" t="s">
        <v>609</v>
      </c>
      <c r="D126" s="671"/>
      <c r="E126" s="671"/>
      <c r="F126" s="671"/>
      <c r="G126" s="671"/>
      <c r="H126" s="671"/>
      <c r="I126" s="671"/>
      <c r="J126" s="671"/>
      <c r="K126" s="553" t="s">
        <v>14</v>
      </c>
      <c r="L126" s="554">
        <v>33</v>
      </c>
      <c r="M126" s="37">
        <v>33</v>
      </c>
      <c r="N126" s="194">
        <f t="shared" si="7"/>
        <v>100</v>
      </c>
    </row>
    <row r="127" spans="1:14" ht="15.75" thickBot="1" x14ac:dyDescent="0.3">
      <c r="A127" s="603"/>
      <c r="B127" s="568" t="s">
        <v>618</v>
      </c>
      <c r="C127" s="670" t="s">
        <v>611</v>
      </c>
      <c r="D127" s="671"/>
      <c r="E127" s="671"/>
      <c r="F127" s="671"/>
      <c r="G127" s="671"/>
      <c r="H127" s="671"/>
      <c r="I127" s="671"/>
      <c r="J127" s="671"/>
      <c r="K127" s="553" t="s">
        <v>14</v>
      </c>
      <c r="L127" s="554">
        <v>28.6</v>
      </c>
      <c r="M127" s="37">
        <v>28.6</v>
      </c>
      <c r="N127" s="194">
        <f t="shared" si="7"/>
        <v>100</v>
      </c>
    </row>
    <row r="128" spans="1:14" ht="15.75" thickBot="1" x14ac:dyDescent="0.3">
      <c r="A128" s="603"/>
      <c r="B128" s="40"/>
      <c r="C128" s="57"/>
      <c r="D128" s="57"/>
      <c r="E128" s="57"/>
      <c r="F128" s="57"/>
      <c r="G128" s="57"/>
      <c r="H128" s="57"/>
      <c r="I128" s="57"/>
      <c r="J128" s="944" t="s">
        <v>574</v>
      </c>
      <c r="K128" s="946"/>
      <c r="L128" s="946"/>
      <c r="M128" s="945"/>
      <c r="N128" s="544">
        <f>SUM(N103:N127)/25</f>
        <v>100.04975374191189</v>
      </c>
    </row>
    <row r="129" spans="1:15" ht="15.75" thickBot="1" x14ac:dyDescent="0.3">
      <c r="A129" s="603"/>
      <c r="B129" s="40"/>
      <c r="C129" s="672"/>
      <c r="D129" s="672"/>
      <c r="E129" s="672"/>
      <c r="F129" s="672"/>
      <c r="G129" s="672"/>
      <c r="H129" s="672"/>
      <c r="I129" s="672"/>
      <c r="J129" s="672"/>
      <c r="K129" s="4"/>
      <c r="L129" s="530"/>
      <c r="M129" s="39"/>
      <c r="N129" s="198"/>
      <c r="O129" s="59"/>
    </row>
    <row r="130" spans="1:15" ht="15.75" thickBot="1" x14ac:dyDescent="0.3">
      <c r="A130" s="602"/>
      <c r="B130" s="50" t="s">
        <v>137</v>
      </c>
      <c r="C130" s="668" t="s">
        <v>152</v>
      </c>
      <c r="D130" s="668" t="s">
        <v>143</v>
      </c>
      <c r="E130" s="668" t="s">
        <v>143</v>
      </c>
      <c r="F130" s="668" t="s">
        <v>143</v>
      </c>
      <c r="G130" s="668" t="s">
        <v>143</v>
      </c>
      <c r="H130" s="668" t="s">
        <v>143</v>
      </c>
      <c r="I130" s="668" t="s">
        <v>143</v>
      </c>
      <c r="J130" s="669" t="s">
        <v>143</v>
      </c>
      <c r="K130" s="50" t="s">
        <v>10</v>
      </c>
      <c r="L130" s="467" t="s">
        <v>11</v>
      </c>
      <c r="M130" s="50" t="s">
        <v>11</v>
      </c>
      <c r="N130" s="438"/>
    </row>
    <row r="131" spans="1:15" x14ac:dyDescent="0.25">
      <c r="A131" s="603"/>
      <c r="B131" s="361" t="s">
        <v>139</v>
      </c>
      <c r="C131" s="654" t="s">
        <v>148</v>
      </c>
      <c r="D131" s="654"/>
      <c r="E131" s="654"/>
      <c r="F131" s="654"/>
      <c r="G131" s="654"/>
      <c r="H131" s="654"/>
      <c r="I131" s="654"/>
      <c r="J131" s="655"/>
      <c r="K131" s="19" t="s">
        <v>127</v>
      </c>
      <c r="L131" s="552">
        <f>KALKULACIJA_CENIK_št_1!J810</f>
        <v>72.140303173176676</v>
      </c>
      <c r="M131" s="34">
        <v>69.866060743439121</v>
      </c>
      <c r="N131" s="194">
        <f t="shared" ref="N131:N137" si="8">(L131/M131*100)</f>
        <v>103.25514621196261</v>
      </c>
    </row>
    <row r="132" spans="1:15" x14ac:dyDescent="0.25">
      <c r="A132" s="603"/>
      <c r="B132" s="359" t="s">
        <v>140</v>
      </c>
      <c r="C132" s="660" t="s">
        <v>149</v>
      </c>
      <c r="D132" s="660"/>
      <c r="E132" s="660"/>
      <c r="F132" s="660"/>
      <c r="G132" s="660"/>
      <c r="H132" s="660"/>
      <c r="I132" s="660"/>
      <c r="J132" s="661"/>
      <c r="K132" s="18" t="s">
        <v>127</v>
      </c>
      <c r="L132" s="552">
        <f>KALKULACIJA_CENIK_št_1!J820</f>
        <v>144.48182633340173</v>
      </c>
      <c r="M132" s="34">
        <v>140.24400223344495</v>
      </c>
      <c r="N132" s="194">
        <f t="shared" si="8"/>
        <v>103.02175068628078</v>
      </c>
    </row>
    <row r="133" spans="1:15" x14ac:dyDescent="0.25">
      <c r="A133" s="603"/>
      <c r="B133" s="361" t="s">
        <v>141</v>
      </c>
      <c r="C133" s="654" t="s">
        <v>150</v>
      </c>
      <c r="D133" s="654"/>
      <c r="E133" s="654"/>
      <c r="F133" s="654"/>
      <c r="G133" s="654"/>
      <c r="H133" s="654"/>
      <c r="I133" s="654"/>
      <c r="J133" s="655"/>
      <c r="K133" s="18" t="s">
        <v>127</v>
      </c>
      <c r="L133" s="552">
        <f>KALKULACIJA_CENIK_št_1!J831</f>
        <v>177.30015168787412</v>
      </c>
      <c r="M133" s="34">
        <v>171.80008430505299</v>
      </c>
      <c r="N133" s="194">
        <f t="shared" si="8"/>
        <v>103.20143462389404</v>
      </c>
    </row>
    <row r="134" spans="1:15" x14ac:dyDescent="0.25">
      <c r="A134" s="603"/>
      <c r="B134" s="359" t="s">
        <v>142</v>
      </c>
      <c r="C134" s="654" t="s">
        <v>239</v>
      </c>
      <c r="D134" s="654"/>
      <c r="E134" s="654"/>
      <c r="F134" s="654"/>
      <c r="G134" s="654"/>
      <c r="H134" s="654"/>
      <c r="I134" s="654"/>
      <c r="J134" s="655"/>
      <c r="K134" s="25" t="s">
        <v>127</v>
      </c>
      <c r="L134" s="552">
        <f>KALKULACIJA_CENIK_št_1!J841</f>
        <v>96.321217555601152</v>
      </c>
      <c r="M134" s="34">
        <v>93.496001488963287</v>
      </c>
      <c r="N134" s="194">
        <f t="shared" si="8"/>
        <v>103.02175068628081</v>
      </c>
    </row>
    <row r="135" spans="1:15" x14ac:dyDescent="0.25">
      <c r="A135" s="603"/>
      <c r="B135" s="361" t="s">
        <v>144</v>
      </c>
      <c r="C135" s="654" t="s">
        <v>240</v>
      </c>
      <c r="D135" s="654"/>
      <c r="E135" s="654"/>
      <c r="F135" s="654"/>
      <c r="G135" s="654"/>
      <c r="H135" s="654"/>
      <c r="I135" s="654"/>
      <c r="J135" s="655"/>
      <c r="K135" s="25" t="s">
        <v>127</v>
      </c>
      <c r="L135" s="552">
        <f>KALKULACIJA_CENIK_št_1!J851</f>
        <v>47.850608777800581</v>
      </c>
      <c r="M135" s="34">
        <v>46.438000744481648</v>
      </c>
      <c r="N135" s="194">
        <f t="shared" si="8"/>
        <v>103.04192258639988</v>
      </c>
    </row>
    <row r="136" spans="1:15" ht="16.5" customHeight="1" x14ac:dyDescent="0.25">
      <c r="A136" s="603"/>
      <c r="B136" s="359" t="s">
        <v>145</v>
      </c>
      <c r="C136" s="890" t="s">
        <v>153</v>
      </c>
      <c r="D136" s="666"/>
      <c r="E136" s="666"/>
      <c r="F136" s="666"/>
      <c r="G136" s="666"/>
      <c r="H136" s="666"/>
      <c r="I136" s="666"/>
      <c r="J136" s="666"/>
      <c r="K136" s="25" t="s">
        <v>127</v>
      </c>
      <c r="L136" s="554">
        <f>CENIK_št_1!K140</f>
        <v>95.701217555601147</v>
      </c>
      <c r="M136" s="37">
        <v>92.876001488963283</v>
      </c>
      <c r="N136" s="194">
        <f t="shared" si="8"/>
        <v>103.04192258639988</v>
      </c>
    </row>
    <row r="137" spans="1:15" ht="16.5" customHeight="1" thickBot="1" x14ac:dyDescent="0.3">
      <c r="A137" s="603"/>
      <c r="B137" s="360" t="s">
        <v>146</v>
      </c>
      <c r="C137" s="890" t="s">
        <v>261</v>
      </c>
      <c r="D137" s="666"/>
      <c r="E137" s="666"/>
      <c r="F137" s="666"/>
      <c r="G137" s="666"/>
      <c r="H137" s="666"/>
      <c r="I137" s="950"/>
      <c r="J137" s="950"/>
      <c r="K137" s="542" t="s">
        <v>127</v>
      </c>
      <c r="L137" s="584">
        <f>CENIK_št_1!K141</f>
        <v>2.2916666666666665</v>
      </c>
      <c r="M137" s="539">
        <v>2.2916666666666665</v>
      </c>
      <c r="N137" s="194">
        <f t="shared" si="8"/>
        <v>100</v>
      </c>
    </row>
    <row r="138" spans="1:15" ht="16.5" customHeight="1" thickBot="1" x14ac:dyDescent="0.3">
      <c r="A138" s="603"/>
      <c r="B138" s="40"/>
      <c r="C138" s="76"/>
      <c r="D138" s="76"/>
      <c r="E138" s="76"/>
      <c r="F138" s="76"/>
      <c r="G138" s="76"/>
      <c r="H138" s="76"/>
      <c r="I138" s="944" t="s">
        <v>576</v>
      </c>
      <c r="J138" s="946"/>
      <c r="K138" s="946"/>
      <c r="L138" s="946"/>
      <c r="M138" s="945"/>
      <c r="N138" s="544">
        <f>SUM(N131:N137)/7</f>
        <v>102.65484676874543</v>
      </c>
    </row>
    <row r="139" spans="1:15" ht="15.75" thickBot="1" x14ac:dyDescent="0.3">
      <c r="A139" s="604"/>
      <c r="L139" s="225"/>
      <c r="N139" s="196"/>
    </row>
    <row r="140" spans="1:15" ht="15.75" thickBot="1" x14ac:dyDescent="0.3">
      <c r="A140" s="602"/>
      <c r="B140" s="50" t="s">
        <v>147</v>
      </c>
      <c r="C140" s="664" t="s">
        <v>168</v>
      </c>
      <c r="D140" s="664" t="s">
        <v>143</v>
      </c>
      <c r="E140" s="664" t="s">
        <v>143</v>
      </c>
      <c r="F140" s="664" t="s">
        <v>143</v>
      </c>
      <c r="G140" s="664" t="s">
        <v>143</v>
      </c>
      <c r="H140" s="664" t="s">
        <v>143</v>
      </c>
      <c r="I140" s="664" t="s">
        <v>143</v>
      </c>
      <c r="J140" s="665" t="s">
        <v>143</v>
      </c>
      <c r="K140" s="50" t="s">
        <v>10</v>
      </c>
      <c r="L140" s="467" t="s">
        <v>11</v>
      </c>
      <c r="M140" s="50" t="s">
        <v>11</v>
      </c>
      <c r="N140" s="438"/>
    </row>
    <row r="141" spans="1:15" x14ac:dyDescent="0.25">
      <c r="A141" s="603"/>
      <c r="B141" s="361" t="s">
        <v>157</v>
      </c>
      <c r="C141" s="654" t="s">
        <v>172</v>
      </c>
      <c r="D141" s="654"/>
      <c r="E141" s="654"/>
      <c r="F141" s="654"/>
      <c r="G141" s="654"/>
      <c r="H141" s="654"/>
      <c r="I141" s="654"/>
      <c r="J141" s="655"/>
      <c r="K141" s="18" t="s">
        <v>127</v>
      </c>
      <c r="L141" s="572">
        <f>KALKULACIJA_CENIK_št_1!H923</f>
        <v>622.65000000000009</v>
      </c>
      <c r="M141" s="34">
        <v>583</v>
      </c>
      <c r="N141" s="194">
        <f t="shared" ref="N141:N142" si="9">(L141/M141*100)</f>
        <v>106.80102915951974</v>
      </c>
    </row>
    <row r="142" spans="1:15" ht="15.75" thickBot="1" x14ac:dyDescent="0.3">
      <c r="A142" s="601"/>
      <c r="B142" s="571" t="s">
        <v>158</v>
      </c>
      <c r="C142" s="654" t="s">
        <v>173</v>
      </c>
      <c r="D142" s="654"/>
      <c r="E142" s="654"/>
      <c r="F142" s="654"/>
      <c r="G142" s="654"/>
      <c r="H142" s="654"/>
      <c r="I142" s="654"/>
      <c r="J142" s="655"/>
      <c r="K142" s="25" t="s">
        <v>127</v>
      </c>
      <c r="L142" s="583">
        <f>KALKULACIJA_CENIK_št_1!H933</f>
        <v>482.30000000000007</v>
      </c>
      <c r="M142" s="539">
        <v>275.60000000000002</v>
      </c>
      <c r="N142" s="194">
        <f t="shared" si="9"/>
        <v>175</v>
      </c>
    </row>
    <row r="143" spans="1:15" ht="15.75" thickBot="1" x14ac:dyDescent="0.3">
      <c r="A143" s="40"/>
      <c r="B143" s="40"/>
      <c r="C143" s="57"/>
      <c r="D143" s="57"/>
      <c r="E143" s="57"/>
      <c r="F143" s="57"/>
      <c r="G143" s="57"/>
      <c r="H143" s="57"/>
      <c r="I143" s="57"/>
      <c r="J143" s="944" t="s">
        <v>575</v>
      </c>
      <c r="K143" s="946"/>
      <c r="L143" s="946"/>
      <c r="M143" s="945"/>
      <c r="N143" s="544">
        <f>N141</f>
        <v>106.80102915951974</v>
      </c>
    </row>
    <row r="144" spans="1:15" ht="15.75" thickBot="1" x14ac:dyDescent="0.3">
      <c r="A144" s="40"/>
      <c r="B144" s="40"/>
      <c r="C144" s="57"/>
      <c r="D144" s="57"/>
      <c r="E144" s="57"/>
      <c r="F144" s="57"/>
      <c r="G144" s="57"/>
      <c r="H144" s="57"/>
      <c r="I144" s="57"/>
      <c r="J144" s="530"/>
      <c r="K144" s="530"/>
      <c r="L144" s="543"/>
      <c r="M144" s="543"/>
      <c r="N144" s="544"/>
    </row>
    <row r="145" spans="1:15" ht="15.75" thickBot="1" x14ac:dyDescent="0.3">
      <c r="A145" s="40"/>
      <c r="B145" s="40"/>
      <c r="C145" s="57"/>
      <c r="D145" s="57"/>
      <c r="E145" s="57"/>
      <c r="F145" s="57"/>
      <c r="G145" s="57"/>
      <c r="H145" s="57"/>
      <c r="I145" s="57"/>
      <c r="J145" s="57"/>
      <c r="K145" s="4"/>
      <c r="L145" s="944" t="s">
        <v>622</v>
      </c>
      <c r="M145" s="945"/>
      <c r="N145" s="651">
        <f>(N143+N138+N86+N67+N41+N26+N128+N100)/8</f>
        <v>101.80728645481679</v>
      </c>
    </row>
    <row r="146" spans="1:15" x14ac:dyDescent="0.25">
      <c r="A146" s="40"/>
      <c r="B146" s="40"/>
      <c r="C146" s="57"/>
      <c r="D146" s="57"/>
      <c r="E146" s="57"/>
      <c r="F146" s="57"/>
      <c r="G146" s="57"/>
      <c r="H146" s="57"/>
      <c r="I146" s="57"/>
      <c r="J146" s="57"/>
      <c r="K146" s="4"/>
      <c r="L146" s="530"/>
      <c r="M146" s="39"/>
      <c r="N146" s="595">
        <f>N145/100</f>
        <v>1.0180728645481678</v>
      </c>
    </row>
    <row r="148" spans="1:15" x14ac:dyDescent="0.25">
      <c r="B148" s="104"/>
      <c r="C148" s="104"/>
      <c r="D148" s="104"/>
      <c r="E148" s="104"/>
      <c r="F148" s="104"/>
      <c r="G148" s="104"/>
      <c r="H148" s="104"/>
      <c r="I148" s="104"/>
      <c r="K148" s="656" t="s">
        <v>632</v>
      </c>
      <c r="L148" s="656"/>
      <c r="M148" s="656"/>
      <c r="N148" s="656"/>
      <c r="O148" s="656"/>
    </row>
    <row r="149" spans="1:15" x14ac:dyDescent="0.25">
      <c r="B149" s="104"/>
      <c r="C149" s="104"/>
      <c r="D149" s="104"/>
      <c r="E149" s="104"/>
      <c r="F149" s="104"/>
      <c r="G149" s="104"/>
      <c r="K149" s="656" t="s">
        <v>633</v>
      </c>
      <c r="L149" s="657"/>
      <c r="M149" s="657"/>
      <c r="N149" s="657"/>
      <c r="O149" s="657"/>
    </row>
    <row r="150" spans="1:15" x14ac:dyDescent="0.25">
      <c r="B150" s="104"/>
      <c r="C150" s="104"/>
      <c r="D150" s="104"/>
      <c r="E150" s="104"/>
      <c r="F150" s="104"/>
      <c r="G150" s="104"/>
      <c r="H150" s="104"/>
      <c r="I150" s="104"/>
      <c r="K150" s="656" t="s">
        <v>637</v>
      </c>
      <c r="L150" s="657"/>
      <c r="M150" s="657"/>
      <c r="N150" s="657"/>
      <c r="O150" s="657"/>
    </row>
  </sheetData>
  <sheetProtection selectLockedCells="1" selectUnlockedCells="1"/>
  <mergeCells count="121">
    <mergeCell ref="L145:M145"/>
    <mergeCell ref="C64:J64"/>
    <mergeCell ref="C141:J141"/>
    <mergeCell ref="C92:J92"/>
    <mergeCell ref="C74:J74"/>
    <mergeCell ref="K148:O148"/>
    <mergeCell ref="K149:O149"/>
    <mergeCell ref="K150:O150"/>
    <mergeCell ref="C111:J111"/>
    <mergeCell ref="C137:J137"/>
    <mergeCell ref="C126:J126"/>
    <mergeCell ref="C127:J127"/>
    <mergeCell ref="C142:J142"/>
    <mergeCell ref="C136:J136"/>
    <mergeCell ref="C119:J119"/>
    <mergeCell ref="C120:J120"/>
    <mergeCell ref="C121:J121"/>
    <mergeCell ref="C122:J122"/>
    <mergeCell ref="C129:J129"/>
    <mergeCell ref="C130:J130"/>
    <mergeCell ref="C131:J131"/>
    <mergeCell ref="C132:J132"/>
    <mergeCell ref="C133:J133"/>
    <mergeCell ref="C134:J134"/>
    <mergeCell ref="C76:J76"/>
    <mergeCell ref="C78:J78"/>
    <mergeCell ref="C79:J79"/>
    <mergeCell ref="C80:J80"/>
    <mergeCell ref="C81:J81"/>
    <mergeCell ref="C82:J82"/>
    <mergeCell ref="C38:K38"/>
    <mergeCell ref="C83:J83"/>
    <mergeCell ref="C54:J54"/>
    <mergeCell ref="C50:J50"/>
    <mergeCell ref="C59:J59"/>
    <mergeCell ref="C62:J62"/>
    <mergeCell ref="I8:J8"/>
    <mergeCell ref="C36:K36"/>
    <mergeCell ref="C37:K37"/>
    <mergeCell ref="C9:F9"/>
    <mergeCell ref="C23:J23"/>
    <mergeCell ref="C24:J24"/>
    <mergeCell ref="C25:J25"/>
    <mergeCell ref="C28:K28"/>
    <mergeCell ref="C13:F13"/>
    <mergeCell ref="C14:F14"/>
    <mergeCell ref="C15:F15"/>
    <mergeCell ref="C16:F16"/>
    <mergeCell ref="C21:J21"/>
    <mergeCell ref="N19:N20"/>
    <mergeCell ref="A1:N6"/>
    <mergeCell ref="A7:N7"/>
    <mergeCell ref="C112:J112"/>
    <mergeCell ref="C22:J22"/>
    <mergeCell ref="C116:J116"/>
    <mergeCell ref="C96:J96"/>
    <mergeCell ref="J128:M128"/>
    <mergeCell ref="J143:M143"/>
    <mergeCell ref="I138:M138"/>
    <mergeCell ref="C39:K39"/>
    <mergeCell ref="C45:J45"/>
    <mergeCell ref="C40:K40"/>
    <mergeCell ref="C46:J46"/>
    <mergeCell ref="C47:J47"/>
    <mergeCell ref="C51:J51"/>
    <mergeCell ref="C48:J48"/>
    <mergeCell ref="C49:J49"/>
    <mergeCell ref="C56:J56"/>
    <mergeCell ref="C113:J113"/>
    <mergeCell ref="C70:J70"/>
    <mergeCell ref="C115:J115"/>
    <mergeCell ref="C58:J58"/>
    <mergeCell ref="C117:J117"/>
    <mergeCell ref="C125:J125"/>
    <mergeCell ref="C102:J102"/>
    <mergeCell ref="C140:J140"/>
    <mergeCell ref="C123:J123"/>
    <mergeCell ref="C53:J53"/>
    <mergeCell ref="C105:J105"/>
    <mergeCell ref="C118:J118"/>
    <mergeCell ref="C107:J107"/>
    <mergeCell ref="C108:J108"/>
    <mergeCell ref="C109:J109"/>
    <mergeCell ref="C110:J110"/>
    <mergeCell ref="C114:J114"/>
    <mergeCell ref="C85:J85"/>
    <mergeCell ref="C99:J99"/>
    <mergeCell ref="C98:J98"/>
    <mergeCell ref="C103:J103"/>
    <mergeCell ref="C106:J106"/>
    <mergeCell ref="C63:J63"/>
    <mergeCell ref="C104:J104"/>
    <mergeCell ref="C69:J69"/>
    <mergeCell ref="C135:J135"/>
    <mergeCell ref="C124:J124"/>
    <mergeCell ref="C57:J57"/>
    <mergeCell ref="C75:J75"/>
    <mergeCell ref="L26:M26"/>
    <mergeCell ref="K41:M41"/>
    <mergeCell ref="K67:M67"/>
    <mergeCell ref="J86:M86"/>
    <mergeCell ref="J100:M100"/>
    <mergeCell ref="C61:J61"/>
    <mergeCell ref="C97:J97"/>
    <mergeCell ref="C72:J72"/>
    <mergeCell ref="C73:J73"/>
    <mergeCell ref="C88:J88"/>
    <mergeCell ref="C89:J89"/>
    <mergeCell ref="C90:J90"/>
    <mergeCell ref="C91:J91"/>
    <mergeCell ref="C93:J93"/>
    <mergeCell ref="C94:J94"/>
    <mergeCell ref="C95:J95"/>
    <mergeCell ref="C65:J65"/>
    <mergeCell ref="C52:J52"/>
    <mergeCell ref="C43:J43"/>
    <mergeCell ref="C44:J44"/>
    <mergeCell ref="C71:J71"/>
    <mergeCell ref="C77:J77"/>
    <mergeCell ref="C60:J60"/>
    <mergeCell ref="C84:J84"/>
  </mergeCells>
  <phoneticPr fontId="42" type="noConversion"/>
  <pageMargins left="0.25" right="0.25" top="0.75" bottom="0.75" header="0.3" footer="0.3"/>
  <pageSetup paperSize="9" scale="64" fitToHeight="0" orientation="portrait" r:id="rId1"/>
  <rowBreaks count="1" manualBreakCount="1">
    <brk id="68" max="13" man="1"/>
  </rowBreaks>
  <ignoredErrors>
    <ignoredError sqref="L29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C2:P29"/>
  <sheetViews>
    <sheetView showGridLines="0" view="pageBreakPreview" zoomScaleNormal="100" zoomScaleSheetLayoutView="100" workbookViewId="0">
      <selection activeCell="P17" sqref="P17"/>
    </sheetView>
  </sheetViews>
  <sheetFormatPr defaultColWidth="9.140625" defaultRowHeight="15" x14ac:dyDescent="0.25"/>
  <cols>
    <col min="1" max="1" width="9.140625" style="204"/>
    <col min="2" max="2" width="14.42578125" style="204" customWidth="1"/>
    <col min="3" max="3" width="17.5703125" style="204" customWidth="1"/>
    <col min="4" max="4" width="20.140625" style="204" customWidth="1"/>
    <col min="5" max="5" width="14.42578125" style="204" customWidth="1"/>
    <col min="6" max="6" width="12.5703125" style="204" customWidth="1"/>
    <col min="7" max="7" width="11.42578125" style="204" customWidth="1"/>
    <col min="8" max="8" width="13.28515625" style="204" customWidth="1"/>
    <col min="9" max="9" width="16.85546875" style="204" customWidth="1"/>
    <col min="10" max="10" width="16.28515625" style="204" customWidth="1"/>
    <col min="11" max="11" width="14.140625" style="204" customWidth="1"/>
    <col min="12" max="12" width="15.140625" style="204" customWidth="1"/>
    <col min="13" max="13" width="14.140625" style="204" customWidth="1"/>
    <col min="14" max="14" width="12.140625" style="204" customWidth="1"/>
    <col min="15" max="15" width="23.28515625" style="204" customWidth="1"/>
    <col min="16" max="16" width="20.140625" style="204" customWidth="1"/>
    <col min="17" max="16384" width="9.140625" style="204"/>
  </cols>
  <sheetData>
    <row r="2" spans="3:16" x14ac:dyDescent="0.25">
      <c r="C2" s="976" t="s">
        <v>577</v>
      </c>
      <c r="D2" s="976"/>
      <c r="E2" s="976"/>
      <c r="F2" s="976"/>
      <c r="G2" s="976"/>
      <c r="H2" s="976"/>
      <c r="I2" s="976"/>
      <c r="J2" s="976"/>
      <c r="K2" s="976"/>
      <c r="L2" s="976"/>
      <c r="M2" s="486"/>
    </row>
    <row r="3" spans="3:16" x14ac:dyDescent="0.25"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486"/>
    </row>
    <row r="4" spans="3:16" x14ac:dyDescent="0.25"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486"/>
    </row>
    <row r="5" spans="3:16" ht="15.75" thickBot="1" x14ac:dyDescent="0.3">
      <c r="C5" s="995" t="s">
        <v>560</v>
      </c>
      <c r="D5" s="995"/>
      <c r="E5" s="995"/>
      <c r="F5" s="995"/>
      <c r="G5" s="995"/>
      <c r="H5" s="995"/>
      <c r="I5" s="995"/>
      <c r="J5" s="995"/>
      <c r="K5" s="995"/>
      <c r="L5" s="995"/>
      <c r="M5" s="486"/>
    </row>
    <row r="6" spans="3:16" ht="55.5" customHeight="1" thickBot="1" x14ac:dyDescent="0.3">
      <c r="C6" s="472" t="s">
        <v>533</v>
      </c>
      <c r="D6" s="472" t="s">
        <v>543</v>
      </c>
      <c r="E6" s="473" t="s">
        <v>548</v>
      </c>
      <c r="F6" s="472" t="s">
        <v>544</v>
      </c>
      <c r="G6" s="472" t="s">
        <v>545</v>
      </c>
      <c r="H6" s="474" t="s">
        <v>546</v>
      </c>
      <c r="I6" s="473" t="s">
        <v>547</v>
      </c>
      <c r="J6" s="507" t="s">
        <v>553</v>
      </c>
      <c r="K6" s="494" t="s">
        <v>554</v>
      </c>
      <c r="L6" s="494" t="s">
        <v>555</v>
      </c>
      <c r="M6" s="951" t="s">
        <v>578</v>
      </c>
    </row>
    <row r="7" spans="3:16" ht="27" customHeight="1" x14ac:dyDescent="0.25">
      <c r="C7" s="506">
        <v>23101</v>
      </c>
      <c r="D7" s="505" t="s">
        <v>542</v>
      </c>
      <c r="E7" s="482" t="s">
        <v>535</v>
      </c>
      <c r="F7" s="490">
        <v>12.2</v>
      </c>
      <c r="G7" s="491">
        <v>0.88</v>
      </c>
      <c r="H7" s="961">
        <f>(F7*G7)+(F8*G8)</f>
        <v>12.396799999999999</v>
      </c>
      <c r="I7" s="963">
        <f>H7*E7</f>
        <v>287100.59039999999</v>
      </c>
      <c r="J7" s="985">
        <v>14851.25</v>
      </c>
      <c r="K7" s="987">
        <v>16.71</v>
      </c>
      <c r="L7" s="989">
        <f>J7*K7</f>
        <v>248164.38750000001</v>
      </c>
      <c r="M7" s="952"/>
    </row>
    <row r="8" spans="3:16" ht="15.75" thickBot="1" x14ac:dyDescent="0.3">
      <c r="C8" s="499"/>
      <c r="D8" s="500"/>
      <c r="E8" s="501"/>
      <c r="F8" s="502">
        <v>13.84</v>
      </c>
      <c r="G8" s="503">
        <v>0.12</v>
      </c>
      <c r="H8" s="962"/>
      <c r="I8" s="964"/>
      <c r="J8" s="986"/>
      <c r="K8" s="988"/>
      <c r="L8" s="990"/>
      <c r="M8" s="953"/>
      <c r="P8" s="545"/>
    </row>
    <row r="9" spans="3:16" ht="39" customHeight="1" x14ac:dyDescent="0.25">
      <c r="C9" s="504">
        <v>23201</v>
      </c>
      <c r="D9" s="514" t="s">
        <v>549</v>
      </c>
      <c r="E9" s="522">
        <v>6410.25</v>
      </c>
      <c r="F9" s="490">
        <v>12.2</v>
      </c>
      <c r="G9" s="491">
        <v>0.9</v>
      </c>
      <c r="H9" s="961">
        <f>(F9*G9)+(F10*G10)</f>
        <v>12.364000000000001</v>
      </c>
      <c r="I9" s="963">
        <f>H9*E9</f>
        <v>79256.331000000006</v>
      </c>
      <c r="J9" s="991">
        <v>4184.5</v>
      </c>
      <c r="K9" s="987">
        <v>16.71</v>
      </c>
      <c r="L9" s="993">
        <f>J9*K9</f>
        <v>69922.99500000001</v>
      </c>
      <c r="M9" s="954" t="s">
        <v>559</v>
      </c>
    </row>
    <row r="10" spans="3:16" ht="41.25" customHeight="1" thickBot="1" x14ac:dyDescent="0.3">
      <c r="C10" s="499"/>
      <c r="D10" s="529" t="s">
        <v>563</v>
      </c>
      <c r="E10" s="509">
        <f>E9+E7</f>
        <v>29569.5</v>
      </c>
      <c r="F10" s="502">
        <v>13.84</v>
      </c>
      <c r="G10" s="510">
        <v>0.1</v>
      </c>
      <c r="H10" s="962"/>
      <c r="I10" s="964"/>
      <c r="J10" s="992"/>
      <c r="K10" s="988"/>
      <c r="L10" s="994"/>
      <c r="M10" s="965"/>
    </row>
    <row r="11" spans="3:16" ht="15.75" thickBot="1" x14ac:dyDescent="0.3">
      <c r="E11" s="434"/>
      <c r="F11" s="435"/>
      <c r="G11" s="436"/>
      <c r="H11" s="348"/>
      <c r="I11" s="508">
        <f>SUM(I7:I10)</f>
        <v>366356.92139999999</v>
      </c>
      <c r="J11" s="495"/>
      <c r="K11" s="487"/>
      <c r="L11" s="511">
        <f>SUM(L7:L10)</f>
        <v>318087.38250000001</v>
      </c>
      <c r="M11" s="546">
        <f>I11+L11</f>
        <v>684444.30389999994</v>
      </c>
    </row>
    <row r="12" spans="3:16" x14ac:dyDescent="0.25">
      <c r="E12" s="434"/>
      <c r="F12" s="435"/>
      <c r="G12" s="436"/>
      <c r="H12" s="532"/>
      <c r="I12" s="532"/>
      <c r="J12" s="532"/>
      <c r="K12" s="532"/>
      <c r="L12" s="531"/>
    </row>
    <row r="13" spans="3:16" x14ac:dyDescent="0.25">
      <c r="E13" s="434"/>
      <c r="F13" s="435"/>
      <c r="G13" s="436"/>
      <c r="H13" s="532"/>
      <c r="I13" s="532"/>
      <c r="J13" s="532"/>
      <c r="K13" s="532"/>
      <c r="L13" s="531"/>
    </row>
    <row r="14" spans="3:16" ht="15.75" customHeight="1" x14ac:dyDescent="0.25">
      <c r="E14" s="434"/>
      <c r="F14" s="435"/>
      <c r="G14" s="436"/>
    </row>
    <row r="15" spans="3:16" ht="15.75" customHeight="1" thickBot="1" x14ac:dyDescent="0.3">
      <c r="C15" s="972" t="s">
        <v>562</v>
      </c>
      <c r="D15" s="972"/>
      <c r="E15" s="972"/>
      <c r="F15" s="972"/>
      <c r="G15" s="972"/>
      <c r="H15" s="972"/>
      <c r="I15" s="972"/>
      <c r="J15" s="972"/>
      <c r="K15" s="972"/>
      <c r="L15" s="972"/>
      <c r="M15" s="479"/>
    </row>
    <row r="16" spans="3:16" ht="60.75" customHeight="1" thickBot="1" x14ac:dyDescent="0.3">
      <c r="C16" s="472" t="s">
        <v>533</v>
      </c>
      <c r="D16" s="472" t="s">
        <v>543</v>
      </c>
      <c r="E16" s="473" t="s">
        <v>557</v>
      </c>
      <c r="F16" s="472" t="s">
        <v>550</v>
      </c>
      <c r="G16" s="472" t="s">
        <v>551</v>
      </c>
      <c r="H16" s="515" t="s">
        <v>552</v>
      </c>
      <c r="I16" s="473" t="s">
        <v>558</v>
      </c>
      <c r="J16" s="517" t="s">
        <v>556</v>
      </c>
      <c r="K16" s="519" t="s">
        <v>554</v>
      </c>
      <c r="L16" s="497" t="s">
        <v>555</v>
      </c>
      <c r="M16" s="951" t="s">
        <v>578</v>
      </c>
    </row>
    <row r="17" spans="3:13" ht="42.75" customHeight="1" thickBot="1" x14ac:dyDescent="0.3">
      <c r="C17" s="481">
        <v>23101</v>
      </c>
      <c r="D17" s="475" t="s">
        <v>542</v>
      </c>
      <c r="E17" s="489" t="s">
        <v>535</v>
      </c>
      <c r="F17" s="490">
        <f>CENIK_št_1!K32</f>
        <v>20.747507542833958</v>
      </c>
      <c r="G17" s="491">
        <v>0.89</v>
      </c>
      <c r="H17" s="966">
        <f>(F17*G17)+(F18*G18)+(F19*G19)</f>
        <v>21.033522726928897</v>
      </c>
      <c r="I17" s="970">
        <f>H17*E17</f>
        <v>487120.61121362809</v>
      </c>
      <c r="J17" s="979">
        <v>14851.25</v>
      </c>
      <c r="K17" s="982">
        <v>18.41</v>
      </c>
      <c r="L17" s="973">
        <f>J17*K17</f>
        <v>273411.51250000001</v>
      </c>
      <c r="M17" s="952"/>
    </row>
    <row r="18" spans="3:13" ht="20.25" customHeight="1" x14ac:dyDescent="0.25">
      <c r="C18" s="483"/>
      <c r="D18" s="483"/>
      <c r="E18" s="488"/>
      <c r="F18" s="470">
        <f>CENIK_št_1!K33</f>
        <v>21.016080827612811</v>
      </c>
      <c r="G18" s="476">
        <v>0.08</v>
      </c>
      <c r="H18" s="967"/>
      <c r="I18" s="959"/>
      <c r="J18" s="979"/>
      <c r="K18" s="982"/>
      <c r="L18" s="973"/>
      <c r="M18" s="952"/>
    </row>
    <row r="19" spans="3:13" ht="42.75" customHeight="1" thickBot="1" x14ac:dyDescent="0.3">
      <c r="E19" s="512"/>
      <c r="F19" s="513">
        <f>CENIK_št_1!K34</f>
        <v>29.565151586588335</v>
      </c>
      <c r="G19" s="510">
        <v>0.03</v>
      </c>
      <c r="H19" s="968"/>
      <c r="I19" s="971"/>
      <c r="J19" s="980"/>
      <c r="K19" s="983"/>
      <c r="L19" s="974"/>
      <c r="M19" s="952"/>
    </row>
    <row r="20" spans="3:13" ht="36" customHeight="1" thickBot="1" x14ac:dyDescent="0.3">
      <c r="C20" s="481">
        <v>23201</v>
      </c>
      <c r="D20" s="480" t="s">
        <v>549</v>
      </c>
      <c r="E20" s="498">
        <v>6410.25</v>
      </c>
      <c r="F20" s="496">
        <f>CENIK_št_1!K32</f>
        <v>20.747507542833958</v>
      </c>
      <c r="G20" s="477">
        <v>0.89</v>
      </c>
      <c r="H20" s="967">
        <f>(F20*G20)+(F21*G21)+(F22*G22)</f>
        <v>21.033522726928897</v>
      </c>
      <c r="I20" s="959">
        <f>H20*E20</f>
        <v>134830.13906029597</v>
      </c>
      <c r="J20" s="981">
        <v>4184.5</v>
      </c>
      <c r="K20" s="984">
        <v>18.41</v>
      </c>
      <c r="L20" s="975">
        <f>J20*K20</f>
        <v>77036.645000000004</v>
      </c>
      <c r="M20" s="953"/>
    </row>
    <row r="21" spans="3:13" ht="36" customHeight="1" x14ac:dyDescent="0.25">
      <c r="C21" s="483"/>
      <c r="D21" s="484"/>
      <c r="E21" s="485"/>
      <c r="F21" s="471">
        <f>CENIK_št_1!K33</f>
        <v>21.016080827612811</v>
      </c>
      <c r="G21" s="476">
        <v>0.08</v>
      </c>
      <c r="H21" s="967"/>
      <c r="I21" s="959"/>
      <c r="J21" s="979"/>
      <c r="K21" s="982"/>
      <c r="L21" s="973"/>
      <c r="M21" s="954" t="s">
        <v>559</v>
      </c>
    </row>
    <row r="22" spans="3:13" ht="36" customHeight="1" x14ac:dyDescent="0.25">
      <c r="C22" s="483"/>
      <c r="D22" s="484"/>
      <c r="E22" s="485"/>
      <c r="F22" s="470">
        <f>CENIK_št_1!K34</f>
        <v>29.565151586588335</v>
      </c>
      <c r="G22" s="476">
        <v>0.03</v>
      </c>
      <c r="H22" s="969"/>
      <c r="I22" s="960"/>
      <c r="J22" s="979"/>
      <c r="K22" s="982"/>
      <c r="L22" s="973"/>
      <c r="M22" s="955"/>
    </row>
    <row r="23" spans="3:13" ht="36" customHeight="1" thickBot="1" x14ac:dyDescent="0.3">
      <c r="C23" s="483"/>
      <c r="D23" s="492" t="s">
        <v>563</v>
      </c>
      <c r="E23" s="493">
        <f>E17+E20</f>
        <v>29569.5</v>
      </c>
      <c r="F23" s="977"/>
      <c r="G23" s="978"/>
      <c r="H23" s="516"/>
      <c r="I23" s="518">
        <f>I17+I20</f>
        <v>621950.75027392409</v>
      </c>
      <c r="J23" s="478"/>
      <c r="K23" s="478"/>
      <c r="L23" s="520">
        <f>SUM(L17:L22)</f>
        <v>350448.15750000003</v>
      </c>
      <c r="M23" s="547">
        <f>I23+L23</f>
        <v>972398.90777392406</v>
      </c>
    </row>
    <row r="24" spans="3:13" ht="36" customHeight="1" x14ac:dyDescent="0.25">
      <c r="C24" s="483"/>
      <c r="D24" s="484"/>
      <c r="E24" s="485"/>
      <c r="F24" s="435"/>
      <c r="G24" s="436"/>
      <c r="H24" s="348"/>
      <c r="I24" s="228"/>
      <c r="J24" s="478"/>
      <c r="K24" s="478"/>
      <c r="L24" s="478"/>
      <c r="M24" s="479"/>
    </row>
    <row r="25" spans="3:13" ht="24" customHeight="1" thickBot="1" x14ac:dyDescent="0.3">
      <c r="J25" s="478"/>
      <c r="K25" s="478"/>
      <c r="L25" s="478"/>
      <c r="M25" s="479"/>
    </row>
    <row r="26" spans="3:13" ht="27.75" customHeight="1" thickBot="1" x14ac:dyDescent="0.3">
      <c r="D26" s="348"/>
      <c r="H26" s="956" t="s">
        <v>561</v>
      </c>
      <c r="I26" s="957"/>
      <c r="J26" s="957"/>
      <c r="K26" s="957"/>
      <c r="L26" s="958"/>
      <c r="M26" s="528">
        <f>M23-M11</f>
        <v>287954.60387392412</v>
      </c>
    </row>
    <row r="27" spans="3:13" ht="15.75" customHeight="1" x14ac:dyDescent="0.25">
      <c r="E27" s="434"/>
      <c r="F27" s="435"/>
      <c r="G27" s="436"/>
    </row>
    <row r="29" spans="3:13" ht="28.5" customHeight="1" x14ac:dyDescent="0.25"/>
  </sheetData>
  <sheetProtection selectLockedCells="1" selectUnlockedCells="1"/>
  <mergeCells count="29">
    <mergeCell ref="C2:L2"/>
    <mergeCell ref="F23:G23"/>
    <mergeCell ref="J17:J19"/>
    <mergeCell ref="J20:J22"/>
    <mergeCell ref="K17:K19"/>
    <mergeCell ref="K20:K22"/>
    <mergeCell ref="J7:J8"/>
    <mergeCell ref="K7:K8"/>
    <mergeCell ref="L7:L8"/>
    <mergeCell ref="J9:J10"/>
    <mergeCell ref="K9:K10"/>
    <mergeCell ref="L9:L10"/>
    <mergeCell ref="C5:L5"/>
    <mergeCell ref="M6:M8"/>
    <mergeCell ref="M16:M20"/>
    <mergeCell ref="M21:M22"/>
    <mergeCell ref="H26:L26"/>
    <mergeCell ref="I20:I22"/>
    <mergeCell ref="H7:H8"/>
    <mergeCell ref="H9:H10"/>
    <mergeCell ref="I7:I8"/>
    <mergeCell ref="I9:I10"/>
    <mergeCell ref="M9:M10"/>
    <mergeCell ref="H17:H19"/>
    <mergeCell ref="H20:H22"/>
    <mergeCell ref="I17:I19"/>
    <mergeCell ref="C15:L15"/>
    <mergeCell ref="L17:L19"/>
    <mergeCell ref="L20:L22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8:L32"/>
  <sheetViews>
    <sheetView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52.7109375" customWidth="1"/>
    <col min="2" max="2" width="31.85546875" customWidth="1"/>
    <col min="3" max="3" width="31.28515625" customWidth="1"/>
    <col min="4" max="4" width="27.7109375" customWidth="1"/>
    <col min="5" max="5" width="19.42578125" customWidth="1"/>
    <col min="6" max="6" width="9.5703125" bestFit="1" customWidth="1"/>
    <col min="7" max="7" width="12.28515625" bestFit="1" customWidth="1"/>
  </cols>
  <sheetData>
    <row r="8" spans="1:5" ht="26.25" customHeight="1" x14ac:dyDescent="0.3">
      <c r="A8" s="996" t="s">
        <v>655</v>
      </c>
      <c r="B8" s="996"/>
      <c r="C8" s="996"/>
      <c r="D8" s="996"/>
      <c r="E8" s="996"/>
    </row>
    <row r="10" spans="1:5" ht="15.75" thickBot="1" x14ac:dyDescent="0.3"/>
    <row r="11" spans="1:5" ht="30.75" thickBot="1" x14ac:dyDescent="0.3">
      <c r="A11" s="640" t="s">
        <v>619</v>
      </c>
      <c r="B11" s="641" t="s">
        <v>658</v>
      </c>
      <c r="C11" s="641" t="s">
        <v>657</v>
      </c>
      <c r="D11" s="641" t="s">
        <v>656</v>
      </c>
      <c r="E11" s="641" t="s">
        <v>621</v>
      </c>
    </row>
    <row r="12" spans="1:5" x14ac:dyDescent="0.25">
      <c r="A12" s="609" t="s">
        <v>542</v>
      </c>
      <c r="B12" s="610"/>
      <c r="C12" s="610"/>
      <c r="D12" s="610"/>
      <c r="E12" s="611"/>
    </row>
    <row r="13" spans="1:5" x14ac:dyDescent="0.25">
      <c r="A13" s="619"/>
      <c r="B13" s="606"/>
      <c r="C13" s="606"/>
      <c r="D13" s="606"/>
      <c r="E13" s="620"/>
    </row>
    <row r="14" spans="1:5" x14ac:dyDescent="0.25">
      <c r="A14" s="612" t="s">
        <v>645</v>
      </c>
      <c r="B14" s="607">
        <v>890040.01</v>
      </c>
      <c r="C14" s="607">
        <f>B14*E14/100</f>
        <v>906125.58254317997</v>
      </c>
      <c r="D14" s="579">
        <f>C14-B14</f>
        <v>16085.572543179966</v>
      </c>
      <c r="E14" s="613">
        <f>CENIK_primerjava!N145</f>
        <v>101.80728645481679</v>
      </c>
    </row>
    <row r="15" spans="1:5" x14ac:dyDescent="0.25">
      <c r="A15" s="614"/>
      <c r="B15" s="608"/>
      <c r="C15" s="608"/>
      <c r="D15" s="647"/>
      <c r="E15" s="613"/>
    </row>
    <row r="16" spans="1:5" x14ac:dyDescent="0.25">
      <c r="A16" s="612" t="s">
        <v>644</v>
      </c>
      <c r="B16" s="607">
        <v>399323.22</v>
      </c>
      <c r="C16" s="607">
        <f>B16*E16/100</f>
        <v>406540.13446599821</v>
      </c>
      <c r="D16" s="579">
        <f>C16-B16</f>
        <v>7216.9144659982412</v>
      </c>
      <c r="E16" s="613">
        <f>CENIK_primerjava!N145</f>
        <v>101.80728645481679</v>
      </c>
    </row>
    <row r="17" spans="1:12" ht="15.75" thickBot="1" x14ac:dyDescent="0.3">
      <c r="A17" s="612"/>
      <c r="B17" s="644"/>
      <c r="C17" s="645"/>
      <c r="D17" s="646"/>
      <c r="E17" s="613"/>
    </row>
    <row r="18" spans="1:12" ht="15.75" thickTop="1" x14ac:dyDescent="0.25">
      <c r="A18" s="615" t="s">
        <v>646</v>
      </c>
      <c r="B18" s="642">
        <f>B14+B16</f>
        <v>1289363.23</v>
      </c>
      <c r="C18" s="642">
        <f>SUM(C14:C17)</f>
        <v>1312665.7170091781</v>
      </c>
      <c r="D18" s="643">
        <f>SUM(D14:D17)</f>
        <v>23302.487009178207</v>
      </c>
      <c r="E18" s="613"/>
    </row>
    <row r="19" spans="1:12" ht="15.75" thickBot="1" x14ac:dyDescent="0.3">
      <c r="A19" s="621"/>
      <c r="B19" s="636"/>
      <c r="C19" s="622"/>
      <c r="D19" s="623"/>
      <c r="E19" s="624"/>
    </row>
    <row r="20" spans="1:12" x14ac:dyDescent="0.25">
      <c r="A20" s="625"/>
      <c r="B20" s="626"/>
      <c r="C20" s="627"/>
      <c r="D20" s="628"/>
      <c r="E20" s="629"/>
    </row>
    <row r="21" spans="1:12" x14ac:dyDescent="0.25">
      <c r="A21" s="630" t="s">
        <v>620</v>
      </c>
      <c r="B21" s="639">
        <v>210651</v>
      </c>
      <c r="C21" s="639">
        <f>B21*E21/100</f>
        <v>214458.06698993611</v>
      </c>
      <c r="D21" s="648">
        <f>C21-B21</f>
        <v>3807.0669899361092</v>
      </c>
      <c r="E21" s="631">
        <f>CENIK_primerjava!N145</f>
        <v>101.80728645481679</v>
      </c>
    </row>
    <row r="22" spans="1:12" ht="15.75" thickBot="1" x14ac:dyDescent="0.3">
      <c r="A22" s="632"/>
      <c r="B22" s="633"/>
      <c r="C22" s="634"/>
      <c r="D22" s="616"/>
      <c r="E22" s="617"/>
    </row>
    <row r="23" spans="1:12" ht="15.75" thickBot="1" x14ac:dyDescent="0.3">
      <c r="A23" s="204"/>
      <c r="B23" s="434"/>
      <c r="C23" s="637" t="s">
        <v>659</v>
      </c>
      <c r="D23" s="638">
        <f>D18+D21</f>
        <v>27109.553999114316</v>
      </c>
      <c r="E23" s="564"/>
    </row>
    <row r="24" spans="1:12" x14ac:dyDescent="0.25">
      <c r="A24" s="204"/>
      <c r="B24" s="435">
        <f>B18+B21</f>
        <v>1500014.23</v>
      </c>
    </row>
    <row r="25" spans="1:12" ht="15" customHeight="1" x14ac:dyDescent="0.25">
      <c r="B25" s="104"/>
      <c r="C25" s="683" t="s">
        <v>632</v>
      </c>
      <c r="D25" s="683"/>
      <c r="E25" s="683"/>
      <c r="F25" s="580"/>
      <c r="G25" s="580"/>
      <c r="H25" s="104"/>
      <c r="I25" s="104"/>
    </row>
    <row r="26" spans="1:12" x14ac:dyDescent="0.25">
      <c r="B26" s="104"/>
      <c r="C26" s="683" t="s">
        <v>633</v>
      </c>
      <c r="D26" s="683"/>
      <c r="E26" s="683"/>
      <c r="F26" s="580"/>
      <c r="G26" s="580"/>
    </row>
    <row r="27" spans="1:12" x14ac:dyDescent="0.25">
      <c r="B27" s="104"/>
      <c r="C27" s="683" t="s">
        <v>637</v>
      </c>
      <c r="D27" s="683"/>
      <c r="E27" s="683"/>
      <c r="F27" s="581"/>
      <c r="G27" s="581"/>
      <c r="H27" s="104"/>
      <c r="I27" s="104"/>
    </row>
    <row r="31" spans="1:12" x14ac:dyDescent="0.25">
      <c r="L31" s="561"/>
    </row>
    <row r="32" spans="1:12" x14ac:dyDescent="0.25">
      <c r="L32" s="561"/>
    </row>
  </sheetData>
  <mergeCells count="4">
    <mergeCell ref="A8:E8"/>
    <mergeCell ref="C26:E26"/>
    <mergeCell ref="C27:E27"/>
    <mergeCell ref="C25:E25"/>
  </mergeCells>
  <pageMargins left="0.7" right="0.7" top="0.75" bottom="0.75" header="0.3" footer="0.3"/>
  <pageSetup paperSize="9" scale="8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8:G29"/>
  <sheetViews>
    <sheetView tabSelected="1" view="pageBreakPreview" zoomScaleNormal="100" zoomScaleSheetLayoutView="100" workbookViewId="0">
      <selection activeCell="C11" sqref="C11"/>
    </sheetView>
  </sheetViews>
  <sheetFormatPr defaultRowHeight="15" x14ac:dyDescent="0.25"/>
  <cols>
    <col min="1" max="1" width="53.42578125" customWidth="1"/>
    <col min="2" max="2" width="27.42578125" customWidth="1"/>
    <col min="3" max="3" width="31.42578125" customWidth="1"/>
    <col min="4" max="4" width="24.140625" customWidth="1"/>
    <col min="5" max="5" width="17.28515625" customWidth="1"/>
    <col min="6" max="6" width="14.7109375" customWidth="1"/>
  </cols>
  <sheetData>
    <row r="8" spans="1:7" ht="18.75" x14ac:dyDescent="0.3">
      <c r="A8" s="996" t="s">
        <v>647</v>
      </c>
      <c r="B8" s="996"/>
      <c r="C8" s="996"/>
      <c r="D8" s="996"/>
      <c r="E8" s="996"/>
    </row>
    <row r="10" spans="1:7" ht="15.75" thickBot="1" x14ac:dyDescent="0.3"/>
    <row r="11" spans="1:7" ht="45.75" customHeight="1" thickBot="1" x14ac:dyDescent="0.3">
      <c r="A11" s="640" t="s">
        <v>619</v>
      </c>
      <c r="B11" s="641" t="s">
        <v>658</v>
      </c>
      <c r="C11" s="641" t="s">
        <v>657</v>
      </c>
      <c r="D11" s="641" t="s">
        <v>656</v>
      </c>
      <c r="E11" s="641" t="s">
        <v>621</v>
      </c>
      <c r="F11" s="565"/>
    </row>
    <row r="12" spans="1:7" x14ac:dyDescent="0.25">
      <c r="A12" s="609" t="s">
        <v>542</v>
      </c>
      <c r="B12" s="610"/>
      <c r="C12" s="610"/>
      <c r="D12" s="610"/>
      <c r="E12" s="611"/>
      <c r="F12" s="565"/>
      <c r="G12" s="566"/>
    </row>
    <row r="13" spans="1:7" x14ac:dyDescent="0.25">
      <c r="A13" s="619"/>
      <c r="B13" s="606"/>
      <c r="C13" s="606"/>
      <c r="D13" s="606"/>
      <c r="E13" s="620"/>
      <c r="F13" s="565"/>
      <c r="G13" s="566"/>
    </row>
    <row r="14" spans="1:7" x14ac:dyDescent="0.25">
      <c r="A14" s="612" t="s">
        <v>645</v>
      </c>
      <c r="B14" s="607">
        <v>347846.3</v>
      </c>
      <c r="C14" s="607">
        <f>B14*E14/100</f>
        <v>354132.87906348141</v>
      </c>
      <c r="D14" s="579">
        <f>C14-B14</f>
        <v>6286.5790634814184</v>
      </c>
      <c r="E14" s="613">
        <f>CENIK_primerjava!N145</f>
        <v>101.80728645481679</v>
      </c>
      <c r="F14" s="565"/>
      <c r="G14" s="596"/>
    </row>
    <row r="15" spans="1:7" x14ac:dyDescent="0.25">
      <c r="A15" s="614"/>
      <c r="B15" s="608"/>
      <c r="C15" s="608"/>
      <c r="D15" s="647"/>
      <c r="E15" s="613"/>
      <c r="F15" s="565"/>
      <c r="G15" s="596"/>
    </row>
    <row r="16" spans="1:7" x14ac:dyDescent="0.25">
      <c r="A16" s="612" t="s">
        <v>644</v>
      </c>
      <c r="B16" s="607">
        <v>136622.20000000001</v>
      </c>
      <c r="C16" s="607">
        <f>B16*E16/100</f>
        <v>139091.35451487271</v>
      </c>
      <c r="D16" s="579">
        <f>C16-B16</f>
        <v>2469.1545148727018</v>
      </c>
      <c r="E16" s="613">
        <f>CENIK_primerjava!N145</f>
        <v>101.80728645481679</v>
      </c>
      <c r="F16" s="3"/>
      <c r="G16" s="597"/>
    </row>
    <row r="17" spans="1:7" ht="15.75" customHeight="1" thickBot="1" x14ac:dyDescent="0.3">
      <c r="A17" s="612"/>
      <c r="B17" s="644"/>
      <c r="C17" s="645"/>
      <c r="D17" s="649"/>
      <c r="E17" s="613"/>
      <c r="F17" s="3"/>
      <c r="G17" s="596"/>
    </row>
    <row r="18" spans="1:7" ht="15.75" thickTop="1" x14ac:dyDescent="0.25">
      <c r="A18" s="615" t="s">
        <v>646</v>
      </c>
      <c r="B18" s="642">
        <f>B14+B16</f>
        <v>484468.5</v>
      </c>
      <c r="C18" s="642">
        <f>SUM(C14:C17)</f>
        <v>493224.23357835412</v>
      </c>
      <c r="D18" s="643">
        <f>SUM(D14:D17)</f>
        <v>8755.7335783541203</v>
      </c>
      <c r="E18" s="618"/>
      <c r="F18" s="3"/>
      <c r="G18" s="596"/>
    </row>
    <row r="19" spans="1:7" ht="15.75" thickBot="1" x14ac:dyDescent="0.3">
      <c r="A19" s="621"/>
      <c r="B19" s="636"/>
      <c r="C19" s="622"/>
      <c r="D19" s="623"/>
      <c r="E19" s="624"/>
      <c r="F19" s="565"/>
      <c r="G19" s="596"/>
    </row>
    <row r="20" spans="1:7" x14ac:dyDescent="0.25">
      <c r="A20" s="625"/>
      <c r="B20" s="626"/>
      <c r="C20" s="627"/>
      <c r="D20" s="628"/>
      <c r="E20" s="629"/>
      <c r="F20" s="565"/>
      <c r="G20" s="596"/>
    </row>
    <row r="21" spans="1:7" x14ac:dyDescent="0.25">
      <c r="A21" s="630" t="s">
        <v>620</v>
      </c>
      <c r="B21" s="635">
        <v>63791.47</v>
      </c>
      <c r="C21" s="639">
        <f>B21*E21/100</f>
        <v>64944.364596638523</v>
      </c>
      <c r="D21" s="648">
        <f>C21-B21</f>
        <v>1152.8945966385218</v>
      </c>
      <c r="E21" s="631">
        <f>CENIK_primerjava!N145</f>
        <v>101.80728645481679</v>
      </c>
      <c r="F21" s="565"/>
      <c r="G21" s="596"/>
    </row>
    <row r="22" spans="1:7" ht="15.75" thickBot="1" x14ac:dyDescent="0.3">
      <c r="A22" s="632"/>
      <c r="B22" s="633"/>
      <c r="C22" s="634"/>
      <c r="D22" s="616"/>
      <c r="E22" s="617"/>
    </row>
    <row r="23" spans="1:7" ht="15.75" thickBot="1" x14ac:dyDescent="0.3">
      <c r="A23" s="204"/>
      <c r="B23" s="434"/>
      <c r="C23" s="637" t="s">
        <v>659</v>
      </c>
      <c r="D23" s="638">
        <f>D18+D21</f>
        <v>9908.628174992642</v>
      </c>
      <c r="E23" s="564"/>
    </row>
    <row r="24" spans="1:7" x14ac:dyDescent="0.25">
      <c r="A24" s="204"/>
      <c r="B24" s="652"/>
      <c r="F24" s="104"/>
      <c r="G24" s="104"/>
    </row>
    <row r="25" spans="1:7" x14ac:dyDescent="0.25">
      <c r="B25" s="104"/>
      <c r="C25" s="683" t="s">
        <v>632</v>
      </c>
      <c r="D25" s="683"/>
      <c r="E25" s="683"/>
      <c r="F25" s="104"/>
      <c r="G25" s="104"/>
    </row>
    <row r="26" spans="1:7" x14ac:dyDescent="0.25">
      <c r="B26" s="104"/>
      <c r="C26" s="683" t="s">
        <v>633</v>
      </c>
      <c r="D26" s="683"/>
      <c r="E26" s="683"/>
    </row>
    <row r="27" spans="1:7" x14ac:dyDescent="0.25">
      <c r="B27" s="104"/>
      <c r="C27" s="683" t="s">
        <v>637</v>
      </c>
      <c r="D27" s="683"/>
      <c r="E27" s="683"/>
    </row>
    <row r="29" spans="1:7" x14ac:dyDescent="0.25">
      <c r="D29" s="59"/>
    </row>
  </sheetData>
  <mergeCells count="4">
    <mergeCell ref="C27:E27"/>
    <mergeCell ref="A8:E8"/>
    <mergeCell ref="C25:E25"/>
    <mergeCell ref="C26:E26"/>
  </mergeCells>
  <pageMargins left="0.7" right="0.7" top="0.75" bottom="0.75" header="0.3" footer="0.3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8</vt:i4>
      </vt:variant>
      <vt:variant>
        <vt:lpstr>Imenovani obsegi</vt:lpstr>
      </vt:variant>
      <vt:variant>
        <vt:i4>8</vt:i4>
      </vt:variant>
    </vt:vector>
  </HeadingPairs>
  <TitlesOfParts>
    <vt:vector size="16" baseType="lpstr">
      <vt:lpstr>CENIK_št_1</vt:lpstr>
      <vt:lpstr>KALKULACIJA_CENIK_št_1</vt:lpstr>
      <vt:lpstr>CENIK em</vt:lpstr>
      <vt:lpstr>KALKULACIJA CENIK em</vt:lpstr>
      <vt:lpstr>CENIK_primerjava</vt:lpstr>
      <vt:lpstr>VPLIV NA PRORAČUN</vt:lpstr>
      <vt:lpstr>VPLIV NA PRORAČUN_o.j.</vt:lpstr>
      <vt:lpstr>VPLIV NA PRORAČUN_o.ž.</vt:lpstr>
      <vt:lpstr>'CENIK em'!Področje_tiskanja</vt:lpstr>
      <vt:lpstr>CENIK_primerjava!Področje_tiskanja</vt:lpstr>
      <vt:lpstr>CENIK_št_1!Področje_tiskanja</vt:lpstr>
      <vt:lpstr>'KALKULACIJA CENIK em'!Področje_tiskanja</vt:lpstr>
      <vt:lpstr>KALKULACIJA_CENIK_št_1!Področje_tiskanja</vt:lpstr>
      <vt:lpstr>'VPLIV NA PRORAČUN'!Področje_tiskanja</vt:lpstr>
      <vt:lpstr>'VPLIV NA PRORAČUN_o.j.'!Področje_tiskanja</vt:lpstr>
      <vt:lpstr>'VPLIV NA PRORAČUN_o.ž.'!Področje_tiskanja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Sebastjan Klukovič</dc:creator>
  <cp:lastModifiedBy>Polona Smolej</cp:lastModifiedBy>
  <cp:lastPrinted>2025-05-07T05:48:37Z</cp:lastPrinted>
  <dcterms:created xsi:type="dcterms:W3CDTF">2017-04-14T07:10:42Z</dcterms:created>
  <dcterms:modified xsi:type="dcterms:W3CDTF">2025-06-06T08:48:09Z</dcterms:modified>
</cp:coreProperties>
</file>