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75"/>
  </bookViews>
  <sheets>
    <sheet name="FN-real2014" sheetId="1" r:id="rId1"/>
  </sheets>
  <definedNames>
    <definedName name="_xlnm.Print_Titles" localSheetId="0">'FN-real2014'!$2:$2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1" i="1" l="1"/>
  <c r="W281" i="1" s="1"/>
  <c r="S229" i="1"/>
  <c r="W106" i="1"/>
  <c r="W69" i="1"/>
  <c r="W16" i="1"/>
  <c r="W14" i="1"/>
  <c r="W54" i="1"/>
  <c r="S114" i="1"/>
  <c r="S111" i="1"/>
  <c r="S89" i="1"/>
  <c r="S88" i="1"/>
  <c r="S87" i="1"/>
  <c r="S86" i="1"/>
  <c r="S85" i="1"/>
  <c r="S84" i="1"/>
  <c r="S83" i="1"/>
  <c r="S55" i="1"/>
  <c r="U55" i="1" s="1"/>
  <c r="S40" i="1"/>
  <c r="S31" i="1"/>
  <c r="S13" i="1"/>
  <c r="U13" i="1" s="1"/>
  <c r="W178" i="1"/>
  <c r="U178" i="1"/>
  <c r="S103" i="1"/>
  <c r="U164" i="1"/>
  <c r="U108" i="1"/>
  <c r="U105" i="1"/>
  <c r="U104" i="1"/>
  <c r="U103" i="1"/>
  <c r="U102" i="1"/>
  <c r="U101" i="1"/>
  <c r="U100" i="1"/>
  <c r="U106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6" i="1"/>
  <c r="U57" i="1"/>
  <c r="U58" i="1"/>
  <c r="U59" i="1"/>
  <c r="U60" i="1"/>
  <c r="U61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27" i="1"/>
  <c r="U6" i="1"/>
  <c r="U7" i="1"/>
  <c r="U8" i="1"/>
  <c r="U9" i="1"/>
  <c r="U10" i="1"/>
  <c r="U11" i="1"/>
  <c r="U12" i="1"/>
  <c r="U14" i="1"/>
  <c r="U15" i="1"/>
  <c r="U16" i="1"/>
  <c r="U17" i="1"/>
  <c r="U18" i="1"/>
  <c r="U19" i="1"/>
  <c r="U20" i="1"/>
  <c r="U21" i="1"/>
  <c r="U22" i="1"/>
  <c r="U23" i="1"/>
  <c r="U24" i="1"/>
  <c r="U25" i="1"/>
  <c r="U5" i="1"/>
  <c r="T59" i="1"/>
  <c r="U26" i="1" l="1"/>
  <c r="S26" i="1"/>
  <c r="S59" i="1"/>
  <c r="V278" i="1" l="1"/>
  <c r="U278" i="1"/>
  <c r="W278" i="1" s="1"/>
  <c r="T278" i="1"/>
  <c r="S278" i="1"/>
  <c r="O278" i="1"/>
  <c r="O275" i="1" s="1"/>
  <c r="N278" i="1"/>
  <c r="P278" i="1" s="1"/>
  <c r="M278" i="1"/>
  <c r="L278" i="1"/>
  <c r="H278" i="1"/>
  <c r="F278" i="1"/>
  <c r="E278" i="1"/>
  <c r="V277" i="1"/>
  <c r="T277" i="1"/>
  <c r="S277" i="1"/>
  <c r="U277" i="1" s="1"/>
  <c r="W277" i="1" s="1"/>
  <c r="O277" i="1"/>
  <c r="N277" i="1"/>
  <c r="P277" i="1" s="1"/>
  <c r="M277" i="1"/>
  <c r="L277" i="1"/>
  <c r="H277" i="1"/>
  <c r="G277" i="1"/>
  <c r="F277" i="1"/>
  <c r="E277" i="1"/>
  <c r="V276" i="1"/>
  <c r="T276" i="1"/>
  <c r="T275" i="1" s="1"/>
  <c r="S276" i="1"/>
  <c r="O276" i="1"/>
  <c r="M276" i="1"/>
  <c r="M275" i="1" s="1"/>
  <c r="L276" i="1"/>
  <c r="H276" i="1"/>
  <c r="G276" i="1"/>
  <c r="F276" i="1"/>
  <c r="E276" i="1"/>
  <c r="V275" i="1"/>
  <c r="L275" i="1"/>
  <c r="F275" i="1"/>
  <c r="V274" i="1"/>
  <c r="U274" i="1"/>
  <c r="W274" i="1" s="1"/>
  <c r="T274" i="1"/>
  <c r="S274" i="1"/>
  <c r="O274" i="1"/>
  <c r="N274" i="1"/>
  <c r="P274" i="1" s="1"/>
  <c r="M274" i="1"/>
  <c r="L274" i="1"/>
  <c r="I274" i="1"/>
  <c r="H274" i="1"/>
  <c r="F274" i="1"/>
  <c r="E274" i="1"/>
  <c r="G274" i="1" s="1"/>
  <c r="V273" i="1"/>
  <c r="T273" i="1"/>
  <c r="T272" i="1" s="1"/>
  <c r="S273" i="1"/>
  <c r="O273" i="1"/>
  <c r="N273" i="1"/>
  <c r="M273" i="1"/>
  <c r="L273" i="1"/>
  <c r="H273" i="1"/>
  <c r="H272" i="1" s="1"/>
  <c r="G273" i="1"/>
  <c r="I273" i="1" s="1"/>
  <c r="I272" i="1" s="1"/>
  <c r="F273" i="1"/>
  <c r="E273" i="1"/>
  <c r="E272" i="1" s="1"/>
  <c r="V272" i="1"/>
  <c r="S272" i="1"/>
  <c r="M272" i="1"/>
  <c r="L272" i="1"/>
  <c r="G272" i="1"/>
  <c r="F272" i="1"/>
  <c r="V271" i="1"/>
  <c r="V268" i="1" s="1"/>
  <c r="U271" i="1"/>
  <c r="W271" i="1" s="1"/>
  <c r="T271" i="1"/>
  <c r="S271" i="1"/>
  <c r="O271" i="1"/>
  <c r="M271" i="1"/>
  <c r="L271" i="1"/>
  <c r="H271" i="1"/>
  <c r="F271" i="1"/>
  <c r="F268" i="1" s="1"/>
  <c r="E271" i="1"/>
  <c r="G271" i="1" s="1"/>
  <c r="I271" i="1" s="1"/>
  <c r="V270" i="1"/>
  <c r="U270" i="1"/>
  <c r="W270" i="1" s="1"/>
  <c r="T270" i="1"/>
  <c r="S270" i="1"/>
  <c r="O270" i="1"/>
  <c r="N270" i="1"/>
  <c r="M270" i="1"/>
  <c r="L270" i="1"/>
  <c r="I270" i="1"/>
  <c r="H270" i="1"/>
  <c r="F270" i="1"/>
  <c r="E270" i="1"/>
  <c r="G270" i="1" s="1"/>
  <c r="G268" i="1" s="1"/>
  <c r="V269" i="1"/>
  <c r="T269" i="1"/>
  <c r="T268" i="1" s="1"/>
  <c r="S269" i="1"/>
  <c r="O269" i="1"/>
  <c r="N269" i="1"/>
  <c r="M269" i="1"/>
  <c r="L269" i="1"/>
  <c r="H269" i="1"/>
  <c r="H268" i="1" s="1"/>
  <c r="G269" i="1"/>
  <c r="I269" i="1" s="1"/>
  <c r="I268" i="1" s="1"/>
  <c r="F269" i="1"/>
  <c r="E269" i="1"/>
  <c r="S268" i="1"/>
  <c r="M268" i="1"/>
  <c r="V267" i="1"/>
  <c r="T267" i="1"/>
  <c r="S267" i="1"/>
  <c r="U267" i="1" s="1"/>
  <c r="W267" i="1" s="1"/>
  <c r="P267" i="1"/>
  <c r="O267" i="1"/>
  <c r="M267" i="1"/>
  <c r="L267" i="1"/>
  <c r="N267" i="1" s="1"/>
  <c r="H267" i="1"/>
  <c r="F267" i="1"/>
  <c r="E267" i="1"/>
  <c r="V266" i="1"/>
  <c r="T266" i="1"/>
  <c r="S266" i="1"/>
  <c r="U266" i="1" s="1"/>
  <c r="W266" i="1" s="1"/>
  <c r="O266" i="1"/>
  <c r="N266" i="1"/>
  <c r="P266" i="1" s="1"/>
  <c r="M266" i="1"/>
  <c r="L266" i="1"/>
  <c r="H266" i="1"/>
  <c r="F266" i="1"/>
  <c r="E266" i="1"/>
  <c r="G266" i="1" s="1"/>
  <c r="I266" i="1" s="1"/>
  <c r="V265" i="1"/>
  <c r="S265" i="1"/>
  <c r="O265" i="1"/>
  <c r="N265" i="1"/>
  <c r="P265" i="1" s="1"/>
  <c r="M265" i="1"/>
  <c r="L265" i="1"/>
  <c r="H265" i="1"/>
  <c r="G265" i="1"/>
  <c r="F265" i="1"/>
  <c r="E265" i="1"/>
  <c r="V264" i="1"/>
  <c r="T264" i="1"/>
  <c r="S264" i="1"/>
  <c r="U264" i="1" s="1"/>
  <c r="W264" i="1" s="1"/>
  <c r="O264" i="1"/>
  <c r="M264" i="1"/>
  <c r="L264" i="1"/>
  <c r="N264" i="1" s="1"/>
  <c r="P264" i="1" s="1"/>
  <c r="H264" i="1"/>
  <c r="G264" i="1"/>
  <c r="I264" i="1" s="1"/>
  <c r="F264" i="1"/>
  <c r="E264" i="1"/>
  <c r="V263" i="1"/>
  <c r="U263" i="1"/>
  <c r="T263" i="1"/>
  <c r="S263" i="1"/>
  <c r="P263" i="1"/>
  <c r="O263" i="1"/>
  <c r="M263" i="1"/>
  <c r="L263" i="1"/>
  <c r="N263" i="1" s="1"/>
  <c r="H263" i="1"/>
  <c r="F263" i="1"/>
  <c r="E263" i="1"/>
  <c r="V262" i="1"/>
  <c r="U262" i="1"/>
  <c r="W262" i="1" s="1"/>
  <c r="T262" i="1"/>
  <c r="S262" i="1"/>
  <c r="O262" i="1"/>
  <c r="N262" i="1"/>
  <c r="P262" i="1" s="1"/>
  <c r="M262" i="1"/>
  <c r="L262" i="1"/>
  <c r="I262" i="1"/>
  <c r="H262" i="1"/>
  <c r="F262" i="1"/>
  <c r="E262" i="1"/>
  <c r="G262" i="1" s="1"/>
  <c r="V261" i="1"/>
  <c r="T261" i="1"/>
  <c r="O261" i="1"/>
  <c r="N261" i="1"/>
  <c r="P261" i="1" s="1"/>
  <c r="M261" i="1"/>
  <c r="L261" i="1"/>
  <c r="H261" i="1"/>
  <c r="H258" i="1" s="1"/>
  <c r="G261" i="1"/>
  <c r="F261" i="1"/>
  <c r="E261" i="1"/>
  <c r="V260" i="1"/>
  <c r="T260" i="1"/>
  <c r="S260" i="1"/>
  <c r="U260" i="1" s="1"/>
  <c r="W260" i="1" s="1"/>
  <c r="O260" i="1"/>
  <c r="M260" i="1"/>
  <c r="M258" i="1" s="1"/>
  <c r="M257" i="1" s="1"/>
  <c r="L260" i="1"/>
  <c r="N260" i="1" s="1"/>
  <c r="P260" i="1" s="1"/>
  <c r="H260" i="1"/>
  <c r="G260" i="1"/>
  <c r="I260" i="1" s="1"/>
  <c r="F260" i="1"/>
  <c r="E260" i="1"/>
  <c r="V259" i="1"/>
  <c r="T259" i="1"/>
  <c r="O259" i="1"/>
  <c r="M259" i="1"/>
  <c r="H259" i="1"/>
  <c r="F259" i="1"/>
  <c r="O258" i="1"/>
  <c r="V256" i="1"/>
  <c r="T256" i="1"/>
  <c r="S256" i="1"/>
  <c r="O256" i="1"/>
  <c r="M256" i="1"/>
  <c r="M255" i="1" s="1"/>
  <c r="L256" i="1"/>
  <c r="H256" i="1"/>
  <c r="G256" i="1"/>
  <c r="I256" i="1" s="1"/>
  <c r="I255" i="1" s="1"/>
  <c r="F256" i="1"/>
  <c r="E256" i="1"/>
  <c r="V255" i="1"/>
  <c r="T255" i="1"/>
  <c r="O255" i="1"/>
  <c r="L255" i="1"/>
  <c r="H255" i="1"/>
  <c r="F255" i="1"/>
  <c r="E255" i="1"/>
  <c r="V254" i="1"/>
  <c r="U254" i="1"/>
  <c r="W254" i="1" s="1"/>
  <c r="W253" i="1" s="1"/>
  <c r="T254" i="1"/>
  <c r="S254" i="1"/>
  <c r="O254" i="1"/>
  <c r="O253" i="1" s="1"/>
  <c r="N254" i="1"/>
  <c r="P254" i="1" s="1"/>
  <c r="P253" i="1" s="1"/>
  <c r="M254" i="1"/>
  <c r="L254" i="1"/>
  <c r="H254" i="1"/>
  <c r="F254" i="1"/>
  <c r="E254" i="1"/>
  <c r="V253" i="1"/>
  <c r="T253" i="1"/>
  <c r="S253" i="1"/>
  <c r="U253" i="1" s="1"/>
  <c r="N253" i="1"/>
  <c r="M253" i="1"/>
  <c r="L253" i="1"/>
  <c r="H253" i="1"/>
  <c r="F253" i="1"/>
  <c r="V252" i="1"/>
  <c r="T252" i="1"/>
  <c r="S252" i="1"/>
  <c r="O252" i="1"/>
  <c r="M252" i="1"/>
  <c r="M249" i="1" s="1"/>
  <c r="L252" i="1"/>
  <c r="N252" i="1" s="1"/>
  <c r="P252" i="1" s="1"/>
  <c r="H252" i="1"/>
  <c r="F252" i="1"/>
  <c r="V251" i="1"/>
  <c r="V249" i="1" s="1"/>
  <c r="U251" i="1"/>
  <c r="T251" i="1"/>
  <c r="S251" i="1"/>
  <c r="O251" i="1"/>
  <c r="M251" i="1"/>
  <c r="L251" i="1"/>
  <c r="H251" i="1"/>
  <c r="F251" i="1"/>
  <c r="F249" i="1" s="1"/>
  <c r="E251" i="1"/>
  <c r="V250" i="1"/>
  <c r="U250" i="1"/>
  <c r="T250" i="1"/>
  <c r="S250" i="1"/>
  <c r="O250" i="1"/>
  <c r="O249" i="1" s="1"/>
  <c r="N250" i="1"/>
  <c r="P250" i="1" s="1"/>
  <c r="M250" i="1"/>
  <c r="L250" i="1"/>
  <c r="H250" i="1"/>
  <c r="F250" i="1"/>
  <c r="E250" i="1"/>
  <c r="T249" i="1"/>
  <c r="H249" i="1"/>
  <c r="V248" i="1"/>
  <c r="T248" i="1"/>
  <c r="S248" i="1"/>
  <c r="O248" i="1"/>
  <c r="M248" i="1"/>
  <c r="M244" i="1" s="1"/>
  <c r="L248" i="1"/>
  <c r="N248" i="1" s="1"/>
  <c r="P248" i="1" s="1"/>
  <c r="H248" i="1"/>
  <c r="G248" i="1"/>
  <c r="I248" i="1" s="1"/>
  <c r="F248" i="1"/>
  <c r="E248" i="1"/>
  <c r="V247" i="1"/>
  <c r="V244" i="1" s="1"/>
  <c r="U247" i="1"/>
  <c r="T247" i="1"/>
  <c r="S247" i="1"/>
  <c r="O247" i="1"/>
  <c r="M247" i="1"/>
  <c r="L247" i="1"/>
  <c r="H247" i="1"/>
  <c r="F247" i="1"/>
  <c r="F244" i="1" s="1"/>
  <c r="E247" i="1"/>
  <c r="G247" i="1" s="1"/>
  <c r="I247" i="1" s="1"/>
  <c r="V246" i="1"/>
  <c r="T246" i="1"/>
  <c r="S246" i="1"/>
  <c r="O246" i="1"/>
  <c r="O244" i="1" s="1"/>
  <c r="N246" i="1"/>
  <c r="M246" i="1"/>
  <c r="L246" i="1"/>
  <c r="H246" i="1"/>
  <c r="F246" i="1"/>
  <c r="E246" i="1"/>
  <c r="V245" i="1"/>
  <c r="T245" i="1"/>
  <c r="S245" i="1"/>
  <c r="O245" i="1"/>
  <c r="N245" i="1"/>
  <c r="M245" i="1"/>
  <c r="L245" i="1"/>
  <c r="H245" i="1"/>
  <c r="H244" i="1" s="1"/>
  <c r="G245" i="1"/>
  <c r="I245" i="1" s="1"/>
  <c r="F245" i="1"/>
  <c r="E245" i="1"/>
  <c r="V243" i="1"/>
  <c r="U243" i="1"/>
  <c r="W243" i="1" s="1"/>
  <c r="T243" i="1"/>
  <c r="S243" i="1"/>
  <c r="P243" i="1"/>
  <c r="O243" i="1"/>
  <c r="M243" i="1"/>
  <c r="L243" i="1"/>
  <c r="N243" i="1" s="1"/>
  <c r="H243" i="1"/>
  <c r="F243" i="1"/>
  <c r="V242" i="1"/>
  <c r="T242" i="1"/>
  <c r="S242" i="1"/>
  <c r="U242" i="1" s="1"/>
  <c r="O242" i="1"/>
  <c r="L242" i="1"/>
  <c r="H242" i="1"/>
  <c r="F242" i="1"/>
  <c r="O241" i="1"/>
  <c r="M241" i="1"/>
  <c r="N241" i="1" s="1"/>
  <c r="P241" i="1" s="1"/>
  <c r="L241" i="1"/>
  <c r="H241" i="1"/>
  <c r="F241" i="1"/>
  <c r="O240" i="1"/>
  <c r="L240" i="1"/>
  <c r="H240" i="1"/>
  <c r="F240" i="1"/>
  <c r="O239" i="1"/>
  <c r="H239" i="1"/>
  <c r="F239" i="1"/>
  <c r="F238" i="1" s="1"/>
  <c r="O238" i="1"/>
  <c r="V237" i="1"/>
  <c r="V236" i="1" s="1"/>
  <c r="T237" i="1"/>
  <c r="S237" i="1"/>
  <c r="O237" i="1"/>
  <c r="O236" i="1" s="1"/>
  <c r="N237" i="1"/>
  <c r="P237" i="1" s="1"/>
  <c r="P236" i="1" s="1"/>
  <c r="M237" i="1"/>
  <c r="L237" i="1"/>
  <c r="H237" i="1"/>
  <c r="H236" i="1" s="1"/>
  <c r="F237" i="1"/>
  <c r="E237" i="1"/>
  <c r="G237" i="1" s="1"/>
  <c r="S236" i="1"/>
  <c r="M236" i="1"/>
  <c r="N236" i="1" s="1"/>
  <c r="L236" i="1"/>
  <c r="F236" i="1"/>
  <c r="V235" i="1"/>
  <c r="O235" i="1"/>
  <c r="H235" i="1"/>
  <c r="F235" i="1"/>
  <c r="G235" i="1" s="1"/>
  <c r="I235" i="1" s="1"/>
  <c r="E235" i="1"/>
  <c r="V234" i="1"/>
  <c r="T234" i="1"/>
  <c r="U234" i="1" s="1"/>
  <c r="S234" i="1"/>
  <c r="O234" i="1"/>
  <c r="M234" i="1"/>
  <c r="L234" i="1"/>
  <c r="N234" i="1" s="1"/>
  <c r="H234" i="1"/>
  <c r="F234" i="1"/>
  <c r="V233" i="1"/>
  <c r="T233" i="1"/>
  <c r="S233" i="1"/>
  <c r="O233" i="1"/>
  <c r="N233" i="1"/>
  <c r="P233" i="1" s="1"/>
  <c r="M233" i="1"/>
  <c r="L233" i="1"/>
  <c r="H233" i="1"/>
  <c r="F233" i="1"/>
  <c r="E233" i="1"/>
  <c r="G233" i="1" s="1"/>
  <c r="I233" i="1" s="1"/>
  <c r="V232" i="1"/>
  <c r="T232" i="1"/>
  <c r="S232" i="1"/>
  <c r="U232" i="1" s="1"/>
  <c r="W232" i="1" s="1"/>
  <c r="O232" i="1"/>
  <c r="M232" i="1"/>
  <c r="L232" i="1"/>
  <c r="N232" i="1" s="1"/>
  <c r="P232" i="1" s="1"/>
  <c r="H232" i="1"/>
  <c r="G232" i="1"/>
  <c r="I232" i="1" s="1"/>
  <c r="F232" i="1"/>
  <c r="E232" i="1"/>
  <c r="V231" i="1"/>
  <c r="O231" i="1"/>
  <c r="H231" i="1"/>
  <c r="F231" i="1"/>
  <c r="E231" i="1"/>
  <c r="V230" i="1"/>
  <c r="O230" i="1"/>
  <c r="H230" i="1"/>
  <c r="F230" i="1"/>
  <c r="E230" i="1"/>
  <c r="G230" i="1" s="1"/>
  <c r="I230" i="1" s="1"/>
  <c r="V229" i="1"/>
  <c r="T229" i="1"/>
  <c r="O229" i="1"/>
  <c r="N229" i="1"/>
  <c r="P229" i="1" s="1"/>
  <c r="M229" i="1"/>
  <c r="L229" i="1"/>
  <c r="H229" i="1"/>
  <c r="F229" i="1"/>
  <c r="V228" i="1"/>
  <c r="T228" i="1"/>
  <c r="S228" i="1"/>
  <c r="O228" i="1"/>
  <c r="M228" i="1"/>
  <c r="N228" i="1" s="1"/>
  <c r="P228" i="1" s="1"/>
  <c r="L228" i="1"/>
  <c r="H228" i="1"/>
  <c r="F228" i="1"/>
  <c r="V227" i="1"/>
  <c r="O227" i="1"/>
  <c r="H227" i="1"/>
  <c r="F227" i="1"/>
  <c r="G227" i="1" s="1"/>
  <c r="I227" i="1" s="1"/>
  <c r="E227" i="1"/>
  <c r="V226" i="1"/>
  <c r="O226" i="1"/>
  <c r="I226" i="1"/>
  <c r="H226" i="1"/>
  <c r="F226" i="1"/>
  <c r="E226" i="1"/>
  <c r="G226" i="1" s="1"/>
  <c r="V225" i="1"/>
  <c r="T225" i="1"/>
  <c r="S225" i="1"/>
  <c r="O225" i="1"/>
  <c r="N225" i="1"/>
  <c r="P225" i="1" s="1"/>
  <c r="M225" i="1"/>
  <c r="L225" i="1"/>
  <c r="H225" i="1"/>
  <c r="F225" i="1"/>
  <c r="V224" i="1"/>
  <c r="O224" i="1"/>
  <c r="H224" i="1"/>
  <c r="F224" i="1"/>
  <c r="V223" i="1"/>
  <c r="T223" i="1"/>
  <c r="S223" i="1"/>
  <c r="U223" i="1" s="1"/>
  <c r="O223" i="1"/>
  <c r="M223" i="1"/>
  <c r="L223" i="1"/>
  <c r="H223" i="1"/>
  <c r="F223" i="1"/>
  <c r="F222" i="1" s="1"/>
  <c r="O222" i="1"/>
  <c r="V221" i="1"/>
  <c r="T221" i="1"/>
  <c r="U221" i="1" s="1"/>
  <c r="W221" i="1" s="1"/>
  <c r="S221" i="1"/>
  <c r="O221" i="1"/>
  <c r="N221" i="1"/>
  <c r="P221" i="1" s="1"/>
  <c r="M221" i="1"/>
  <c r="L221" i="1"/>
  <c r="H221" i="1"/>
  <c r="F221" i="1"/>
  <c r="E221" i="1"/>
  <c r="G221" i="1" s="1"/>
  <c r="V220" i="1"/>
  <c r="O220" i="1"/>
  <c r="M220" i="1"/>
  <c r="N220" i="1" s="1"/>
  <c r="P220" i="1" s="1"/>
  <c r="L220" i="1"/>
  <c r="H220" i="1"/>
  <c r="G220" i="1"/>
  <c r="I220" i="1" s="1"/>
  <c r="F220" i="1"/>
  <c r="E220" i="1"/>
  <c r="V219" i="1"/>
  <c r="O219" i="1"/>
  <c r="H219" i="1"/>
  <c r="F219" i="1"/>
  <c r="E219" i="1"/>
  <c r="G219" i="1" s="1"/>
  <c r="I219" i="1" s="1"/>
  <c r="V218" i="1"/>
  <c r="O218" i="1"/>
  <c r="O216" i="1" s="1"/>
  <c r="O215" i="1" s="1"/>
  <c r="H218" i="1"/>
  <c r="F218" i="1"/>
  <c r="V217" i="1"/>
  <c r="O217" i="1"/>
  <c r="H217" i="1"/>
  <c r="H216" i="1" s="1"/>
  <c r="F217" i="1"/>
  <c r="E217" i="1"/>
  <c r="G217" i="1" s="1"/>
  <c r="F216" i="1"/>
  <c r="U174" i="1"/>
  <c r="W174" i="1" s="1"/>
  <c r="P174" i="1"/>
  <c r="N174" i="1"/>
  <c r="G174" i="1"/>
  <c r="U173" i="1"/>
  <c r="U171" i="1" s="1"/>
  <c r="W171" i="1" s="1"/>
  <c r="N173" i="1"/>
  <c r="G173" i="1"/>
  <c r="I173" i="1" s="1"/>
  <c r="W172" i="1"/>
  <c r="U172" i="1"/>
  <c r="N172" i="1"/>
  <c r="P172" i="1" s="1"/>
  <c r="I172" i="1"/>
  <c r="G172" i="1"/>
  <c r="T171" i="1"/>
  <c r="S171" i="1"/>
  <c r="N171" i="1"/>
  <c r="P171" i="1" s="1"/>
  <c r="M171" i="1"/>
  <c r="L171" i="1"/>
  <c r="H171" i="1"/>
  <c r="G171" i="1"/>
  <c r="I171" i="1" s="1"/>
  <c r="F171" i="1"/>
  <c r="E171" i="1"/>
  <c r="U170" i="1"/>
  <c r="P170" i="1"/>
  <c r="N170" i="1"/>
  <c r="G170" i="1"/>
  <c r="I170" i="1" s="1"/>
  <c r="U169" i="1"/>
  <c r="W169" i="1" s="1"/>
  <c r="N169" i="1"/>
  <c r="P169" i="1" s="1"/>
  <c r="I169" i="1"/>
  <c r="G169" i="1"/>
  <c r="T168" i="1"/>
  <c r="S168" i="1"/>
  <c r="N168" i="1"/>
  <c r="P168" i="1" s="1"/>
  <c r="M168" i="1"/>
  <c r="L168" i="1"/>
  <c r="G168" i="1"/>
  <c r="I168" i="1" s="1"/>
  <c r="F168" i="1"/>
  <c r="E168" i="1"/>
  <c r="U167" i="1"/>
  <c r="W167" i="1" s="1"/>
  <c r="P167" i="1"/>
  <c r="N167" i="1"/>
  <c r="G167" i="1"/>
  <c r="I167" i="1" s="1"/>
  <c r="W166" i="1"/>
  <c r="U166" i="1"/>
  <c r="N166" i="1"/>
  <c r="I166" i="1"/>
  <c r="G166" i="1"/>
  <c r="U165" i="1"/>
  <c r="P165" i="1"/>
  <c r="N165" i="1"/>
  <c r="G165" i="1"/>
  <c r="W164" i="1"/>
  <c r="P164" i="1"/>
  <c r="G164" i="1"/>
  <c r="I164" i="1" s="1"/>
  <c r="T163" i="1"/>
  <c r="S163" i="1"/>
  <c r="M163" i="1"/>
  <c r="L163" i="1"/>
  <c r="F163" i="1"/>
  <c r="E163" i="1"/>
  <c r="W162" i="1"/>
  <c r="U162" i="1"/>
  <c r="N162" i="1"/>
  <c r="P162" i="1" s="1"/>
  <c r="I162" i="1"/>
  <c r="G162" i="1"/>
  <c r="U161" i="1"/>
  <c r="W161" i="1" s="1"/>
  <c r="P161" i="1"/>
  <c r="N161" i="1"/>
  <c r="G161" i="1"/>
  <c r="I161" i="1" s="1"/>
  <c r="U160" i="1"/>
  <c r="W160" i="1" s="1"/>
  <c r="N160" i="1"/>
  <c r="P160" i="1" s="1"/>
  <c r="I160" i="1"/>
  <c r="G160" i="1"/>
  <c r="U159" i="1"/>
  <c r="W159" i="1" s="1"/>
  <c r="P159" i="1"/>
  <c r="N159" i="1"/>
  <c r="G159" i="1"/>
  <c r="I159" i="1" s="1"/>
  <c r="W158" i="1"/>
  <c r="U158" i="1"/>
  <c r="N158" i="1"/>
  <c r="P158" i="1" s="1"/>
  <c r="I158" i="1"/>
  <c r="G158" i="1"/>
  <c r="U157" i="1"/>
  <c r="W157" i="1" s="1"/>
  <c r="T265" i="1"/>
  <c r="N157" i="1"/>
  <c r="P157" i="1" s="1"/>
  <c r="I157" i="1"/>
  <c r="G157" i="1"/>
  <c r="U156" i="1"/>
  <c r="W156" i="1" s="1"/>
  <c r="P156" i="1"/>
  <c r="N156" i="1"/>
  <c r="G156" i="1"/>
  <c r="I156" i="1" s="1"/>
  <c r="U155" i="1"/>
  <c r="W155" i="1" s="1"/>
  <c r="N155" i="1"/>
  <c r="P155" i="1" s="1"/>
  <c r="I155" i="1"/>
  <c r="G155" i="1"/>
  <c r="U154" i="1"/>
  <c r="W154" i="1" s="1"/>
  <c r="P154" i="1"/>
  <c r="N154" i="1"/>
  <c r="G154" i="1"/>
  <c r="I154" i="1" s="1"/>
  <c r="U153" i="1"/>
  <c r="W153" i="1" s="1"/>
  <c r="N153" i="1"/>
  <c r="P153" i="1" s="1"/>
  <c r="I153" i="1"/>
  <c r="G153" i="1"/>
  <c r="U152" i="1"/>
  <c r="W152" i="1" s="1"/>
  <c r="P152" i="1"/>
  <c r="N152" i="1"/>
  <c r="G152" i="1"/>
  <c r="I152" i="1" s="1"/>
  <c r="U151" i="1"/>
  <c r="W151" i="1" s="1"/>
  <c r="N151" i="1"/>
  <c r="P151" i="1" s="1"/>
  <c r="I151" i="1"/>
  <c r="G151" i="1"/>
  <c r="U150" i="1"/>
  <c r="W150" i="1" s="1"/>
  <c r="P150" i="1"/>
  <c r="N150" i="1"/>
  <c r="G150" i="1"/>
  <c r="I150" i="1" s="1"/>
  <c r="W149" i="1"/>
  <c r="U149" i="1"/>
  <c r="N149" i="1"/>
  <c r="P149" i="1" s="1"/>
  <c r="I149" i="1"/>
  <c r="G149" i="1"/>
  <c r="U148" i="1"/>
  <c r="W148" i="1" s="1"/>
  <c r="P148" i="1"/>
  <c r="N148" i="1"/>
  <c r="G148" i="1"/>
  <c r="I148" i="1" s="1"/>
  <c r="W147" i="1"/>
  <c r="U147" i="1"/>
  <c r="N147" i="1"/>
  <c r="P147" i="1" s="1"/>
  <c r="I147" i="1"/>
  <c r="G147" i="1"/>
  <c r="U146" i="1"/>
  <c r="W146" i="1" s="1"/>
  <c r="P146" i="1"/>
  <c r="N146" i="1"/>
  <c r="G146" i="1"/>
  <c r="I146" i="1" s="1"/>
  <c r="U145" i="1"/>
  <c r="W145" i="1" s="1"/>
  <c r="N145" i="1"/>
  <c r="P145" i="1" s="1"/>
  <c r="I145" i="1"/>
  <c r="G145" i="1"/>
  <c r="U144" i="1"/>
  <c r="W144" i="1" s="1"/>
  <c r="P144" i="1"/>
  <c r="N144" i="1"/>
  <c r="G144" i="1"/>
  <c r="I144" i="1" s="1"/>
  <c r="U143" i="1"/>
  <c r="W143" i="1" s="1"/>
  <c r="N143" i="1"/>
  <c r="P143" i="1" s="1"/>
  <c r="I143" i="1"/>
  <c r="G143" i="1"/>
  <c r="U142" i="1"/>
  <c r="W142" i="1" s="1"/>
  <c r="P142" i="1"/>
  <c r="N142" i="1"/>
  <c r="G142" i="1"/>
  <c r="I142" i="1" s="1"/>
  <c r="U141" i="1"/>
  <c r="W141" i="1" s="1"/>
  <c r="S261" i="1"/>
  <c r="N141" i="1"/>
  <c r="P141" i="1" s="1"/>
  <c r="I141" i="1"/>
  <c r="G141" i="1"/>
  <c r="U140" i="1"/>
  <c r="W140" i="1" s="1"/>
  <c r="P140" i="1"/>
  <c r="N140" i="1"/>
  <c r="G140" i="1"/>
  <c r="I140" i="1" s="1"/>
  <c r="U139" i="1"/>
  <c r="W139" i="1" s="1"/>
  <c r="N139" i="1"/>
  <c r="P139" i="1" s="1"/>
  <c r="I139" i="1"/>
  <c r="G139" i="1"/>
  <c r="U138" i="1"/>
  <c r="W138" i="1" s="1"/>
  <c r="P138" i="1"/>
  <c r="N138" i="1"/>
  <c r="G138" i="1"/>
  <c r="I138" i="1" s="1"/>
  <c r="W137" i="1"/>
  <c r="U137" i="1"/>
  <c r="N137" i="1"/>
  <c r="P137" i="1" s="1"/>
  <c r="I137" i="1"/>
  <c r="G137" i="1"/>
  <c r="U136" i="1"/>
  <c r="W136" i="1" s="1"/>
  <c r="P136" i="1"/>
  <c r="N136" i="1"/>
  <c r="G136" i="1"/>
  <c r="I136" i="1" s="1"/>
  <c r="W135" i="1"/>
  <c r="U135" i="1"/>
  <c r="N135" i="1"/>
  <c r="P135" i="1" s="1"/>
  <c r="I135" i="1"/>
  <c r="G135" i="1"/>
  <c r="U134" i="1"/>
  <c r="W134" i="1" s="1"/>
  <c r="P134" i="1"/>
  <c r="N134" i="1"/>
  <c r="G134" i="1"/>
  <c r="I134" i="1" s="1"/>
  <c r="U133" i="1"/>
  <c r="W133" i="1" s="1"/>
  <c r="N133" i="1"/>
  <c r="P133" i="1" s="1"/>
  <c r="I133" i="1"/>
  <c r="G133" i="1"/>
  <c r="U132" i="1"/>
  <c r="W132" i="1" s="1"/>
  <c r="P132" i="1"/>
  <c r="N132" i="1"/>
  <c r="G132" i="1"/>
  <c r="I132" i="1" s="1"/>
  <c r="W131" i="1"/>
  <c r="U131" i="1"/>
  <c r="N131" i="1"/>
  <c r="P131" i="1" s="1"/>
  <c r="I131" i="1"/>
  <c r="G131" i="1"/>
  <c r="U130" i="1"/>
  <c r="W130" i="1" s="1"/>
  <c r="P130" i="1"/>
  <c r="N130" i="1"/>
  <c r="G130" i="1"/>
  <c r="I130" i="1" s="1"/>
  <c r="W129" i="1"/>
  <c r="U129" i="1"/>
  <c r="N129" i="1"/>
  <c r="P129" i="1" s="1"/>
  <c r="I129" i="1"/>
  <c r="G129" i="1"/>
  <c r="U128" i="1"/>
  <c r="W128" i="1" s="1"/>
  <c r="P128" i="1"/>
  <c r="N128" i="1"/>
  <c r="G128" i="1"/>
  <c r="I128" i="1" s="1"/>
  <c r="W127" i="1"/>
  <c r="U127" i="1"/>
  <c r="N127" i="1"/>
  <c r="P127" i="1" s="1"/>
  <c r="I127" i="1"/>
  <c r="G127" i="1"/>
  <c r="U126" i="1"/>
  <c r="W126" i="1" s="1"/>
  <c r="P126" i="1"/>
  <c r="N126" i="1"/>
  <c r="G126" i="1"/>
  <c r="I126" i="1" s="1"/>
  <c r="W125" i="1"/>
  <c r="U125" i="1"/>
  <c r="N125" i="1"/>
  <c r="P125" i="1" s="1"/>
  <c r="I125" i="1"/>
  <c r="G125" i="1"/>
  <c r="U124" i="1"/>
  <c r="W124" i="1" s="1"/>
  <c r="L124" i="1"/>
  <c r="N124" i="1" s="1"/>
  <c r="P124" i="1" s="1"/>
  <c r="I124" i="1"/>
  <c r="G124" i="1"/>
  <c r="U123" i="1"/>
  <c r="W123" i="1" s="1"/>
  <c r="P123" i="1"/>
  <c r="N123" i="1"/>
  <c r="I123" i="1"/>
  <c r="G123" i="1"/>
  <c r="U122" i="1"/>
  <c r="W122" i="1" s="1"/>
  <c r="P122" i="1"/>
  <c r="N122" i="1"/>
  <c r="I122" i="1"/>
  <c r="G122" i="1"/>
  <c r="U121" i="1"/>
  <c r="W121" i="1" s="1"/>
  <c r="P121" i="1"/>
  <c r="N121" i="1"/>
  <c r="I121" i="1"/>
  <c r="G121" i="1"/>
  <c r="U120" i="1"/>
  <c r="W120" i="1" s="1"/>
  <c r="P120" i="1"/>
  <c r="N120" i="1"/>
  <c r="I120" i="1"/>
  <c r="G120" i="1"/>
  <c r="U119" i="1"/>
  <c r="W119" i="1" s="1"/>
  <c r="P119" i="1"/>
  <c r="N119" i="1"/>
  <c r="I119" i="1"/>
  <c r="G119" i="1"/>
  <c r="W118" i="1"/>
  <c r="U118" i="1"/>
  <c r="P118" i="1"/>
  <c r="N118" i="1"/>
  <c r="I118" i="1"/>
  <c r="G118" i="1"/>
  <c r="U117" i="1"/>
  <c r="W117" i="1" s="1"/>
  <c r="P117" i="1"/>
  <c r="N117" i="1"/>
  <c r="I117" i="1"/>
  <c r="G117" i="1"/>
  <c r="U116" i="1"/>
  <c r="W116" i="1" s="1"/>
  <c r="P116" i="1"/>
  <c r="N116" i="1"/>
  <c r="I116" i="1"/>
  <c r="G116" i="1"/>
  <c r="W115" i="1"/>
  <c r="U115" i="1"/>
  <c r="P115" i="1"/>
  <c r="N115" i="1"/>
  <c r="I115" i="1"/>
  <c r="G115" i="1"/>
  <c r="W114" i="1"/>
  <c r="U114" i="1"/>
  <c r="P114" i="1"/>
  <c r="N114" i="1"/>
  <c r="I114" i="1"/>
  <c r="E114" i="1"/>
  <c r="G114" i="1" s="1"/>
  <c r="U113" i="1"/>
  <c r="W113" i="1" s="1"/>
  <c r="P113" i="1"/>
  <c r="N113" i="1"/>
  <c r="I113" i="1"/>
  <c r="G113" i="1"/>
  <c r="U112" i="1"/>
  <c r="W112" i="1" s="1"/>
  <c r="P112" i="1"/>
  <c r="N112" i="1"/>
  <c r="I112" i="1"/>
  <c r="G112" i="1"/>
  <c r="N111" i="1"/>
  <c r="P111" i="1" s="1"/>
  <c r="L111" i="1"/>
  <c r="L259" i="1" s="1"/>
  <c r="E111" i="1"/>
  <c r="V110" i="1"/>
  <c r="V109" i="1" s="1"/>
  <c r="T110" i="1"/>
  <c r="O110" i="1"/>
  <c r="M110" i="1"/>
  <c r="L110" i="1"/>
  <c r="L109" i="1" s="1"/>
  <c r="H110" i="1"/>
  <c r="H109" i="1" s="1"/>
  <c r="F110" i="1"/>
  <c r="F109" i="1" s="1"/>
  <c r="O109" i="1"/>
  <c r="M109" i="1"/>
  <c r="W108" i="1"/>
  <c r="P108" i="1"/>
  <c r="I108" i="1"/>
  <c r="V107" i="1"/>
  <c r="U107" i="1"/>
  <c r="W107" i="1" s="1"/>
  <c r="T107" i="1"/>
  <c r="S107" i="1"/>
  <c r="O107" i="1"/>
  <c r="N107" i="1"/>
  <c r="M107" i="1"/>
  <c r="L107" i="1"/>
  <c r="I107" i="1"/>
  <c r="H107" i="1"/>
  <c r="G107" i="1"/>
  <c r="F107" i="1"/>
  <c r="E107" i="1"/>
  <c r="G106" i="1"/>
  <c r="I106" i="1" s="1"/>
  <c r="W105" i="1"/>
  <c r="P105" i="1"/>
  <c r="G105" i="1"/>
  <c r="V104" i="1"/>
  <c r="W104" i="1"/>
  <c r="T104" i="1"/>
  <c r="S104" i="1"/>
  <c r="O104" i="1"/>
  <c r="N104" i="1"/>
  <c r="P104" i="1" s="1"/>
  <c r="M104" i="1"/>
  <c r="L104" i="1"/>
  <c r="H104" i="1"/>
  <c r="F104" i="1"/>
  <c r="E104" i="1"/>
  <c r="W103" i="1"/>
  <c r="P103" i="1"/>
  <c r="N103" i="1"/>
  <c r="E103" i="1"/>
  <c r="W102" i="1"/>
  <c r="N102" i="1"/>
  <c r="P102" i="1" s="1"/>
  <c r="G102" i="1"/>
  <c r="I102" i="1" s="1"/>
  <c r="N101" i="1"/>
  <c r="P101" i="1" s="1"/>
  <c r="G101" i="1"/>
  <c r="I101" i="1" s="1"/>
  <c r="W100" i="1"/>
  <c r="P100" i="1"/>
  <c r="G100" i="1"/>
  <c r="V99" i="1"/>
  <c r="T99" i="1"/>
  <c r="S99" i="1"/>
  <c r="O99" i="1"/>
  <c r="M99" i="1"/>
  <c r="L99" i="1"/>
  <c r="H99" i="1"/>
  <c r="F99" i="1"/>
  <c r="U98" i="1"/>
  <c r="W98" i="1" s="1"/>
  <c r="P98" i="1"/>
  <c r="N98" i="1"/>
  <c r="I98" i="1"/>
  <c r="G98" i="1"/>
  <c r="W97" i="1"/>
  <c r="U97" i="1"/>
  <c r="P97" i="1"/>
  <c r="N97" i="1"/>
  <c r="I97" i="1"/>
  <c r="G97" i="1"/>
  <c r="W96" i="1"/>
  <c r="U96" i="1"/>
  <c r="P96" i="1"/>
  <c r="N96" i="1"/>
  <c r="I96" i="1"/>
  <c r="G96" i="1"/>
  <c r="W95" i="1"/>
  <c r="U95" i="1"/>
  <c r="P95" i="1"/>
  <c r="N95" i="1"/>
  <c r="I95" i="1"/>
  <c r="G95" i="1"/>
  <c r="V94" i="1"/>
  <c r="U94" i="1"/>
  <c r="W94" i="1" s="1"/>
  <c r="T94" i="1"/>
  <c r="S94" i="1"/>
  <c r="O94" i="1"/>
  <c r="P94" i="1" s="1"/>
  <c r="N94" i="1"/>
  <c r="M94" i="1"/>
  <c r="L94" i="1"/>
  <c r="I94" i="1"/>
  <c r="H94" i="1"/>
  <c r="G94" i="1"/>
  <c r="F94" i="1"/>
  <c r="E94" i="1"/>
  <c r="U93" i="1"/>
  <c r="W93" i="1" s="1"/>
  <c r="N93" i="1"/>
  <c r="P93" i="1" s="1"/>
  <c r="G93" i="1"/>
  <c r="I93" i="1" s="1"/>
  <c r="E93" i="1"/>
  <c r="E243" i="1" s="1"/>
  <c r="G243" i="1" s="1"/>
  <c r="I243" i="1" s="1"/>
  <c r="U92" i="1"/>
  <c r="W92" i="1" s="1"/>
  <c r="P92" i="1"/>
  <c r="N92" i="1"/>
  <c r="I92" i="1"/>
  <c r="G92" i="1"/>
  <c r="U91" i="1"/>
  <c r="W91" i="1" s="1"/>
  <c r="P91" i="1"/>
  <c r="N91" i="1"/>
  <c r="I91" i="1"/>
  <c r="G91" i="1"/>
  <c r="U90" i="1"/>
  <c r="W90" i="1" s="1"/>
  <c r="P90" i="1"/>
  <c r="N90" i="1"/>
  <c r="I90" i="1"/>
  <c r="G90" i="1"/>
  <c r="U89" i="1"/>
  <c r="W89" i="1" s="1"/>
  <c r="M89" i="1"/>
  <c r="G89" i="1"/>
  <c r="I89" i="1" s="1"/>
  <c r="E89" i="1"/>
  <c r="E242" i="1" s="1"/>
  <c r="G242" i="1" s="1"/>
  <c r="I242" i="1" s="1"/>
  <c r="V241" i="1"/>
  <c r="T241" i="1"/>
  <c r="S241" i="1"/>
  <c r="U241" i="1" s="1"/>
  <c r="N88" i="1"/>
  <c r="P88" i="1" s="1"/>
  <c r="M88" i="1"/>
  <c r="E88" i="1"/>
  <c r="U87" i="1"/>
  <c r="W87" i="1" s="1"/>
  <c r="P87" i="1"/>
  <c r="M87" i="1"/>
  <c r="N87" i="1" s="1"/>
  <c r="G87" i="1"/>
  <c r="I87" i="1" s="1"/>
  <c r="E87" i="1"/>
  <c r="S240" i="1"/>
  <c r="N86" i="1"/>
  <c r="P86" i="1" s="1"/>
  <c r="M86" i="1"/>
  <c r="E86" i="1"/>
  <c r="U85" i="1"/>
  <c r="W85" i="1" s="1"/>
  <c r="N85" i="1"/>
  <c r="P85" i="1" s="1"/>
  <c r="G85" i="1"/>
  <c r="I85" i="1" s="1"/>
  <c r="L84" i="1"/>
  <c r="L239" i="1" s="1"/>
  <c r="E84" i="1"/>
  <c r="G84" i="1" s="1"/>
  <c r="I84" i="1" s="1"/>
  <c r="M83" i="1"/>
  <c r="G83" i="1"/>
  <c r="I83" i="1" s="1"/>
  <c r="E83" i="1"/>
  <c r="O82" i="1"/>
  <c r="L82" i="1"/>
  <c r="H82" i="1"/>
  <c r="F82" i="1"/>
  <c r="E82" i="1"/>
  <c r="U81" i="1"/>
  <c r="W81" i="1" s="1"/>
  <c r="N81" i="1"/>
  <c r="G81" i="1"/>
  <c r="I81" i="1" s="1"/>
  <c r="U80" i="1"/>
  <c r="W80" i="1" s="1"/>
  <c r="N80" i="1"/>
  <c r="P80" i="1" s="1"/>
  <c r="G80" i="1"/>
  <c r="I80" i="1" s="1"/>
  <c r="X79" i="1"/>
  <c r="V79" i="1"/>
  <c r="U79" i="1"/>
  <c r="T79" i="1"/>
  <c r="S79" i="1"/>
  <c r="O79" i="1"/>
  <c r="M79" i="1"/>
  <c r="L79" i="1"/>
  <c r="H79" i="1"/>
  <c r="F79" i="1"/>
  <c r="E79" i="1"/>
  <c r="W78" i="1"/>
  <c r="N78" i="1"/>
  <c r="P78" i="1" s="1"/>
  <c r="G78" i="1"/>
  <c r="I78" i="1" s="1"/>
  <c r="W77" i="1"/>
  <c r="N77" i="1"/>
  <c r="P77" i="1" s="1"/>
  <c r="G77" i="1"/>
  <c r="I77" i="1" s="1"/>
  <c r="W76" i="1"/>
  <c r="P76" i="1"/>
  <c r="M76" i="1"/>
  <c r="L76" i="1"/>
  <c r="G76" i="1"/>
  <c r="I76" i="1" s="1"/>
  <c r="W75" i="1"/>
  <c r="S235" i="1"/>
  <c r="P75" i="1"/>
  <c r="M75" i="1"/>
  <c r="M235" i="1" s="1"/>
  <c r="L75" i="1"/>
  <c r="G75" i="1"/>
  <c r="I75" i="1" s="1"/>
  <c r="W74" i="1"/>
  <c r="N74" i="1"/>
  <c r="P74" i="1" s="1"/>
  <c r="G74" i="1"/>
  <c r="I74" i="1" s="1"/>
  <c r="W73" i="1"/>
  <c r="N73" i="1"/>
  <c r="P73" i="1" s="1"/>
  <c r="G73" i="1"/>
  <c r="I73" i="1" s="1"/>
  <c r="W72" i="1"/>
  <c r="N72" i="1"/>
  <c r="P72" i="1" s="1"/>
  <c r="G72" i="1"/>
  <c r="I72" i="1" s="1"/>
  <c r="E72" i="1"/>
  <c r="E234" i="1" s="1"/>
  <c r="G234" i="1" s="1"/>
  <c r="I234" i="1" s="1"/>
  <c r="W71" i="1"/>
  <c r="P71" i="1"/>
  <c r="N71" i="1"/>
  <c r="I71" i="1"/>
  <c r="G71" i="1"/>
  <c r="W70" i="1"/>
  <c r="P70" i="1"/>
  <c r="N70" i="1"/>
  <c r="I70" i="1"/>
  <c r="G70" i="1"/>
  <c r="G69" i="1"/>
  <c r="W68" i="1"/>
  <c r="N68" i="1"/>
  <c r="P68" i="1" s="1"/>
  <c r="G68" i="1"/>
  <c r="I68" i="1" s="1"/>
  <c r="W67" i="1"/>
  <c r="N67" i="1"/>
  <c r="P67" i="1" s="1"/>
  <c r="G67" i="1"/>
  <c r="I67" i="1" s="1"/>
  <c r="W66" i="1"/>
  <c r="N66" i="1"/>
  <c r="P66" i="1" s="1"/>
  <c r="G66" i="1"/>
  <c r="I66" i="1" s="1"/>
  <c r="W65" i="1"/>
  <c r="P65" i="1"/>
  <c r="M65" i="1"/>
  <c r="L65" i="1"/>
  <c r="G65" i="1"/>
  <c r="I65" i="1" s="1"/>
  <c r="W64" i="1"/>
  <c r="S231" i="1"/>
  <c r="P64" i="1"/>
  <c r="M64" i="1"/>
  <c r="M231" i="1" s="1"/>
  <c r="L64" i="1"/>
  <c r="L231" i="1" s="1"/>
  <c r="N231" i="1" s="1"/>
  <c r="P231" i="1" s="1"/>
  <c r="G64" i="1"/>
  <c r="I64" i="1" s="1"/>
  <c r="W63" i="1"/>
  <c r="N63" i="1"/>
  <c r="P63" i="1" s="1"/>
  <c r="G63" i="1"/>
  <c r="I63" i="1" s="1"/>
  <c r="P62" i="1"/>
  <c r="M62" i="1"/>
  <c r="L62" i="1"/>
  <c r="G62" i="1"/>
  <c r="I62" i="1" s="1"/>
  <c r="W61" i="1"/>
  <c r="N61" i="1"/>
  <c r="P61" i="1" s="1"/>
  <c r="G61" i="1"/>
  <c r="I61" i="1" s="1"/>
  <c r="W60" i="1"/>
  <c r="P60" i="1"/>
  <c r="M60" i="1"/>
  <c r="L60" i="1"/>
  <c r="G60" i="1"/>
  <c r="I60" i="1" s="1"/>
  <c r="W59" i="1"/>
  <c r="P59" i="1"/>
  <c r="M59" i="1"/>
  <c r="M230" i="1" s="1"/>
  <c r="L59" i="1"/>
  <c r="I59" i="1"/>
  <c r="G59" i="1"/>
  <c r="W58" i="1"/>
  <c r="P58" i="1"/>
  <c r="N58" i="1"/>
  <c r="I58" i="1"/>
  <c r="G58" i="1"/>
  <c r="W57" i="1"/>
  <c r="P57" i="1"/>
  <c r="N57" i="1"/>
  <c r="I57" i="1"/>
  <c r="G57" i="1"/>
  <c r="W56" i="1"/>
  <c r="P56" i="1"/>
  <c r="N56" i="1"/>
  <c r="I56" i="1"/>
  <c r="G56" i="1"/>
  <c r="W55" i="1"/>
  <c r="P55" i="1"/>
  <c r="N55" i="1"/>
  <c r="E55" i="1"/>
  <c r="G54" i="1"/>
  <c r="W53" i="1"/>
  <c r="P53" i="1"/>
  <c r="N53" i="1"/>
  <c r="I53" i="1"/>
  <c r="G53" i="1"/>
  <c r="W52" i="1"/>
  <c r="P52" i="1"/>
  <c r="N52" i="1"/>
  <c r="E52" i="1"/>
  <c r="W51" i="1"/>
  <c r="P51" i="1"/>
  <c r="M51" i="1"/>
  <c r="L51" i="1"/>
  <c r="G51" i="1"/>
  <c r="I51" i="1" s="1"/>
  <c r="W50" i="1"/>
  <c r="P50" i="1"/>
  <c r="M50" i="1"/>
  <c r="L50" i="1"/>
  <c r="G50" i="1"/>
  <c r="I50" i="1" s="1"/>
  <c r="W49" i="1"/>
  <c r="S227" i="1"/>
  <c r="P49" i="1"/>
  <c r="M49" i="1"/>
  <c r="M227" i="1" s="1"/>
  <c r="L49" i="1"/>
  <c r="G49" i="1"/>
  <c r="I49" i="1" s="1"/>
  <c r="W48" i="1"/>
  <c r="P48" i="1"/>
  <c r="M48" i="1"/>
  <c r="L48" i="1"/>
  <c r="L26" i="1" s="1"/>
  <c r="L3" i="1" s="1"/>
  <c r="G48" i="1"/>
  <c r="I48" i="1" s="1"/>
  <c r="W47" i="1"/>
  <c r="N47" i="1"/>
  <c r="P47" i="1" s="1"/>
  <c r="G47" i="1"/>
  <c r="I47" i="1" s="1"/>
  <c r="W46" i="1"/>
  <c r="P46" i="1"/>
  <c r="N46" i="1"/>
  <c r="I46" i="1"/>
  <c r="G46" i="1"/>
  <c r="W45" i="1"/>
  <c r="P45" i="1"/>
  <c r="M45" i="1"/>
  <c r="M226" i="1" s="1"/>
  <c r="L45" i="1"/>
  <c r="I45" i="1"/>
  <c r="G45" i="1"/>
  <c r="W44" i="1"/>
  <c r="S226" i="1"/>
  <c r="N44" i="1"/>
  <c r="P44" i="1" s="1"/>
  <c r="G44" i="1"/>
  <c r="I44" i="1" s="1"/>
  <c r="W43" i="1"/>
  <c r="N43" i="1"/>
  <c r="P43" i="1" s="1"/>
  <c r="G43" i="1"/>
  <c r="I43" i="1" s="1"/>
  <c r="W42" i="1"/>
  <c r="N42" i="1"/>
  <c r="P42" i="1" s="1"/>
  <c r="G42" i="1"/>
  <c r="I42" i="1" s="1"/>
  <c r="W41" i="1"/>
  <c r="N41" i="1"/>
  <c r="P41" i="1" s="1"/>
  <c r="G41" i="1"/>
  <c r="I41" i="1" s="1"/>
  <c r="W40" i="1"/>
  <c r="N40" i="1"/>
  <c r="P40" i="1" s="1"/>
  <c r="G40" i="1"/>
  <c r="I40" i="1" s="1"/>
  <c r="E40" i="1"/>
  <c r="E225" i="1" s="1"/>
  <c r="G225" i="1" s="1"/>
  <c r="I225" i="1" s="1"/>
  <c r="W39" i="1"/>
  <c r="P39" i="1"/>
  <c r="N39" i="1"/>
  <c r="E39" i="1"/>
  <c r="W38" i="1"/>
  <c r="N38" i="1"/>
  <c r="P38" i="1" s="1"/>
  <c r="G38" i="1"/>
  <c r="I38" i="1" s="1"/>
  <c r="W37" i="1"/>
  <c r="N37" i="1"/>
  <c r="P37" i="1" s="1"/>
  <c r="G37" i="1"/>
  <c r="I37" i="1" s="1"/>
  <c r="W36" i="1"/>
  <c r="N36" i="1"/>
  <c r="P36" i="1" s="1"/>
  <c r="G36" i="1"/>
  <c r="I36" i="1" s="1"/>
  <c r="E36" i="1"/>
  <c r="W35" i="1"/>
  <c r="P35" i="1"/>
  <c r="N35" i="1"/>
  <c r="I35" i="1"/>
  <c r="G35" i="1"/>
  <c r="W34" i="1"/>
  <c r="P34" i="1"/>
  <c r="N34" i="1"/>
  <c r="I34" i="1"/>
  <c r="G34" i="1"/>
  <c r="W33" i="1"/>
  <c r="P33" i="1"/>
  <c r="N33" i="1"/>
  <c r="I33" i="1"/>
  <c r="G33" i="1"/>
  <c r="W32" i="1"/>
  <c r="P32" i="1"/>
  <c r="N32" i="1"/>
  <c r="I32" i="1"/>
  <c r="G32" i="1"/>
  <c r="W31" i="1"/>
  <c r="P31" i="1"/>
  <c r="N31" i="1"/>
  <c r="E31" i="1"/>
  <c r="W30" i="1"/>
  <c r="P30" i="1"/>
  <c r="M30" i="1"/>
  <c r="L30" i="1"/>
  <c r="G30" i="1"/>
  <c r="I30" i="1" s="1"/>
  <c r="W29" i="1"/>
  <c r="N29" i="1"/>
  <c r="P29" i="1" s="1"/>
  <c r="G29" i="1"/>
  <c r="I29" i="1" s="1"/>
  <c r="W28" i="1"/>
  <c r="P28" i="1"/>
  <c r="M28" i="1"/>
  <c r="L28" i="1"/>
  <c r="G28" i="1"/>
  <c r="I28" i="1" s="1"/>
  <c r="W27" i="1"/>
  <c r="T224" i="1"/>
  <c r="S224" i="1"/>
  <c r="P27" i="1"/>
  <c r="M27" i="1"/>
  <c r="M224" i="1" s="1"/>
  <c r="L27" i="1"/>
  <c r="L224" i="1" s="1"/>
  <c r="G27" i="1"/>
  <c r="V26" i="1"/>
  <c r="O26" i="1"/>
  <c r="O3" i="1" s="1"/>
  <c r="N26" i="1"/>
  <c r="P26" i="1" s="1"/>
  <c r="H26" i="1"/>
  <c r="H3" i="1" s="1"/>
  <c r="F26" i="1"/>
  <c r="W25" i="1"/>
  <c r="N25" i="1"/>
  <c r="P25" i="1" s="1"/>
  <c r="I25" i="1"/>
  <c r="G25" i="1"/>
  <c r="W24" i="1"/>
  <c r="N24" i="1"/>
  <c r="P24" i="1" s="1"/>
  <c r="G24" i="1"/>
  <c r="I24" i="1" s="1"/>
  <c r="W23" i="1"/>
  <c r="P23" i="1"/>
  <c r="N23" i="1"/>
  <c r="G23" i="1"/>
  <c r="I23" i="1" s="1"/>
  <c r="W22" i="1"/>
  <c r="P22" i="1"/>
  <c r="M22" i="1"/>
  <c r="L22" i="1"/>
  <c r="G22" i="1"/>
  <c r="I22" i="1" s="1"/>
  <c r="W21" i="1"/>
  <c r="N21" i="1"/>
  <c r="P21" i="1" s="1"/>
  <c r="G21" i="1"/>
  <c r="I21" i="1" s="1"/>
  <c r="W20" i="1"/>
  <c r="T219" i="1"/>
  <c r="P20" i="1"/>
  <c r="M20" i="1"/>
  <c r="L20" i="1"/>
  <c r="L219" i="1" s="1"/>
  <c r="G20" i="1"/>
  <c r="I20" i="1" s="1"/>
  <c r="W19" i="1"/>
  <c r="N19" i="1"/>
  <c r="P19" i="1" s="1"/>
  <c r="G19" i="1"/>
  <c r="I19" i="1" s="1"/>
  <c r="W18" i="1"/>
  <c r="N18" i="1"/>
  <c r="P18" i="1" s="1"/>
  <c r="G18" i="1"/>
  <c r="I18" i="1" s="1"/>
  <c r="W17" i="1"/>
  <c r="T218" i="1"/>
  <c r="S218" i="1"/>
  <c r="P17" i="1"/>
  <c r="M17" i="1"/>
  <c r="M218" i="1" s="1"/>
  <c r="L17" i="1"/>
  <c r="L218" i="1" s="1"/>
  <c r="N218" i="1" s="1"/>
  <c r="P218" i="1" s="1"/>
  <c r="G17" i="1"/>
  <c r="I17" i="1" s="1"/>
  <c r="G16" i="1"/>
  <c r="I16" i="1" s="1"/>
  <c r="W15" i="1"/>
  <c r="N15" i="1"/>
  <c r="P15" i="1" s="1"/>
  <c r="G15" i="1"/>
  <c r="I15" i="1" s="1"/>
  <c r="G14" i="1"/>
  <c r="I14" i="1" s="1"/>
  <c r="W13" i="1"/>
  <c r="N13" i="1"/>
  <c r="P13" i="1" s="1"/>
  <c r="E13" i="1"/>
  <c r="E218" i="1" s="1"/>
  <c r="W12" i="1"/>
  <c r="P12" i="1"/>
  <c r="M12" i="1"/>
  <c r="L12" i="1"/>
  <c r="G12" i="1"/>
  <c r="I12" i="1" s="1"/>
  <c r="W11" i="1"/>
  <c r="N11" i="1"/>
  <c r="P11" i="1" s="1"/>
  <c r="I11" i="1"/>
  <c r="G11" i="1"/>
  <c r="W10" i="1"/>
  <c r="P10" i="1"/>
  <c r="N10" i="1"/>
  <c r="G10" i="1"/>
  <c r="I10" i="1" s="1"/>
  <c r="W9" i="1"/>
  <c r="N9" i="1"/>
  <c r="P9" i="1" s="1"/>
  <c r="I9" i="1"/>
  <c r="G9" i="1"/>
  <c r="P8" i="1"/>
  <c r="N8" i="1"/>
  <c r="G8" i="1"/>
  <c r="I8" i="1" s="1"/>
  <c r="W7" i="1"/>
  <c r="P7" i="1"/>
  <c r="M7" i="1"/>
  <c r="M4" i="1" s="1"/>
  <c r="L7" i="1"/>
  <c r="G7" i="1"/>
  <c r="I7" i="1" s="1"/>
  <c r="W6" i="1"/>
  <c r="N6" i="1"/>
  <c r="P6" i="1" s="1"/>
  <c r="I6" i="1"/>
  <c r="G6" i="1"/>
  <c r="W5" i="1"/>
  <c r="T217" i="1"/>
  <c r="S217" i="1"/>
  <c r="P5" i="1"/>
  <c r="M5" i="1"/>
  <c r="L5" i="1"/>
  <c r="L217" i="1" s="1"/>
  <c r="I5" i="1"/>
  <c r="G5" i="1"/>
  <c r="V4" i="1"/>
  <c r="O4" i="1"/>
  <c r="L4" i="1"/>
  <c r="H4" i="1"/>
  <c r="F4" i="1"/>
  <c r="F3" i="1"/>
  <c r="V258" i="1" l="1"/>
  <c r="V257" i="1" s="1"/>
  <c r="W242" i="1"/>
  <c r="W241" i="1"/>
  <c r="W79" i="1"/>
  <c r="W234" i="1"/>
  <c r="V222" i="1"/>
  <c r="V216" i="1"/>
  <c r="T109" i="1"/>
  <c r="U261" i="1"/>
  <c r="W261" i="1" s="1"/>
  <c r="U248" i="1"/>
  <c r="W248" i="1" s="1"/>
  <c r="T244" i="1"/>
  <c r="U246" i="1"/>
  <c r="W246" i="1" s="1"/>
  <c r="U228" i="1"/>
  <c r="W228" i="1" s="1"/>
  <c r="S244" i="1"/>
  <c r="U233" i="1"/>
  <c r="W233" i="1" s="1"/>
  <c r="U225" i="1"/>
  <c r="W225" i="1" s="1"/>
  <c r="U4" i="1"/>
  <c r="W4" i="1" s="1"/>
  <c r="E229" i="1"/>
  <c r="G229" i="1" s="1"/>
  <c r="I229" i="1" s="1"/>
  <c r="G55" i="1"/>
  <c r="I55" i="1" s="1"/>
  <c r="E240" i="1"/>
  <c r="G240" i="1" s="1"/>
  <c r="I240" i="1" s="1"/>
  <c r="G86" i="1"/>
  <c r="I86" i="1" s="1"/>
  <c r="S4" i="1"/>
  <c r="L216" i="1"/>
  <c r="N217" i="1"/>
  <c r="G218" i="1"/>
  <c r="E216" i="1"/>
  <c r="M219" i="1"/>
  <c r="N219" i="1" s="1"/>
  <c r="P219" i="1" s="1"/>
  <c r="T235" i="1"/>
  <c r="U235" i="1" s="1"/>
  <c r="W235" i="1" s="1"/>
  <c r="N83" i="1"/>
  <c r="I100" i="1"/>
  <c r="O177" i="1"/>
  <c r="O180" i="1" s="1"/>
  <c r="N4" i="1"/>
  <c r="T4" i="1"/>
  <c r="M217" i="1"/>
  <c r="W8" i="1"/>
  <c r="G13" i="1"/>
  <c r="T220" i="1"/>
  <c r="T216" i="1" s="1"/>
  <c r="I27" i="1"/>
  <c r="U224" i="1"/>
  <c r="G79" i="1"/>
  <c r="I79" i="1" s="1"/>
  <c r="N79" i="1"/>
  <c r="P79" i="1" s="1"/>
  <c r="P81" i="1"/>
  <c r="G82" i="1"/>
  <c r="I82" i="1" s="1"/>
  <c r="U86" i="1"/>
  <c r="W86" i="1" s="1"/>
  <c r="U88" i="1"/>
  <c r="W88" i="1" s="1"/>
  <c r="W101" i="1"/>
  <c r="U99" i="1"/>
  <c r="W99" i="1" s="1"/>
  <c r="E252" i="1"/>
  <c r="G252" i="1" s="1"/>
  <c r="I252" i="1" s="1"/>
  <c r="G103" i="1"/>
  <c r="I103" i="1" s="1"/>
  <c r="E99" i="1"/>
  <c r="H177" i="1"/>
  <c r="H180" i="1" s="1"/>
  <c r="E259" i="1"/>
  <c r="G111" i="1"/>
  <c r="E110" i="1"/>
  <c r="E109" i="1" s="1"/>
  <c r="S259" i="1"/>
  <c r="U111" i="1"/>
  <c r="S110" i="1"/>
  <c r="S109" i="1" s="1"/>
  <c r="G163" i="1"/>
  <c r="I163" i="1" s="1"/>
  <c r="I165" i="1"/>
  <c r="U217" i="1"/>
  <c r="E241" i="1"/>
  <c r="G241" i="1" s="1"/>
  <c r="I241" i="1" s="1"/>
  <c r="G88" i="1"/>
  <c r="I88" i="1" s="1"/>
  <c r="I105" i="1"/>
  <c r="G104" i="1"/>
  <c r="I104" i="1" s="1"/>
  <c r="N163" i="1"/>
  <c r="P163" i="1" s="1"/>
  <c r="P166" i="1"/>
  <c r="S220" i="1"/>
  <c r="E26" i="1"/>
  <c r="E223" i="1"/>
  <c r="G31" i="1"/>
  <c r="I31" i="1" s="1"/>
  <c r="E224" i="1"/>
  <c r="G224" i="1" s="1"/>
  <c r="I224" i="1" s="1"/>
  <c r="G39" i="1"/>
  <c r="I39" i="1" s="1"/>
  <c r="L235" i="1"/>
  <c r="N235" i="1" s="1"/>
  <c r="P235" i="1" s="1"/>
  <c r="V239" i="1"/>
  <c r="V82" i="1"/>
  <c r="V3" i="1" s="1"/>
  <c r="V177" i="1" s="1"/>
  <c r="V180" i="1" s="1"/>
  <c r="M84" i="1"/>
  <c r="M239" i="1" s="1"/>
  <c r="F177" i="1"/>
  <c r="F180" i="1" s="1"/>
  <c r="N110" i="1"/>
  <c r="P110" i="1" s="1"/>
  <c r="E4" i="1"/>
  <c r="U218" i="1"/>
  <c r="W218" i="1" s="1"/>
  <c r="S219" i="1"/>
  <c r="U219" i="1" s="1"/>
  <c r="W219" i="1" s="1"/>
  <c r="M26" i="1"/>
  <c r="N224" i="1"/>
  <c r="P224" i="1" s="1"/>
  <c r="L227" i="1"/>
  <c r="N227" i="1" s="1"/>
  <c r="P227" i="1" s="1"/>
  <c r="T227" i="1"/>
  <c r="U227" i="1" s="1"/>
  <c r="W227" i="1" s="1"/>
  <c r="E228" i="1"/>
  <c r="G228" i="1" s="1"/>
  <c r="I228" i="1" s="1"/>
  <c r="G52" i="1"/>
  <c r="I52" i="1" s="1"/>
  <c r="T231" i="1"/>
  <c r="U231" i="1" s="1"/>
  <c r="W231" i="1" s="1"/>
  <c r="T239" i="1"/>
  <c r="M242" i="1"/>
  <c r="N242" i="1" s="1"/>
  <c r="P242" i="1" s="1"/>
  <c r="N89" i="1"/>
  <c r="P89" i="1" s="1"/>
  <c r="N99" i="1"/>
  <c r="P99" i="1" s="1"/>
  <c r="P107" i="1"/>
  <c r="L177" i="1"/>
  <c r="L180" i="1" s="1"/>
  <c r="N109" i="1"/>
  <c r="W170" i="1"/>
  <c r="U168" i="1"/>
  <c r="W168" i="1" s="1"/>
  <c r="T226" i="1"/>
  <c r="U226" i="1" s="1"/>
  <c r="W226" i="1" s="1"/>
  <c r="L226" i="1"/>
  <c r="N226" i="1" s="1"/>
  <c r="P226" i="1" s="1"/>
  <c r="L230" i="1"/>
  <c r="N230" i="1" s="1"/>
  <c r="P230" i="1" s="1"/>
  <c r="L238" i="1"/>
  <c r="V240" i="1"/>
  <c r="P245" i="1"/>
  <c r="N244" i="1"/>
  <c r="L244" i="1"/>
  <c r="N247" i="1"/>
  <c r="P247" i="1" s="1"/>
  <c r="S230" i="1"/>
  <c r="E239" i="1"/>
  <c r="U83" i="1"/>
  <c r="N84" i="1"/>
  <c r="P84" i="1" s="1"/>
  <c r="M240" i="1"/>
  <c r="N240" i="1" s="1"/>
  <c r="P240" i="1" s="1"/>
  <c r="T240" i="1"/>
  <c r="U240" i="1" s="1"/>
  <c r="W240" i="1" s="1"/>
  <c r="N259" i="1"/>
  <c r="L258" i="1"/>
  <c r="L257" i="1" s="1"/>
  <c r="U163" i="1"/>
  <c r="W163" i="1" s="1"/>
  <c r="W165" i="1"/>
  <c r="F215" i="1"/>
  <c r="H238" i="1"/>
  <c r="I221" i="1"/>
  <c r="N223" i="1"/>
  <c r="W223" i="1"/>
  <c r="H222" i="1"/>
  <c r="H215" i="1" s="1"/>
  <c r="G231" i="1"/>
  <c r="I231" i="1" s="1"/>
  <c r="P234" i="1"/>
  <c r="W250" i="1"/>
  <c r="U265" i="1"/>
  <c r="W265" i="1" s="1"/>
  <c r="P269" i="1"/>
  <c r="N268" i="1"/>
  <c r="L268" i="1"/>
  <c r="N271" i="1"/>
  <c r="P271" i="1" s="1"/>
  <c r="I217" i="1"/>
  <c r="M222" i="1"/>
  <c r="I237" i="1"/>
  <c r="I236" i="1" s="1"/>
  <c r="U237" i="1"/>
  <c r="W237" i="1" s="1"/>
  <c r="W236" i="1" s="1"/>
  <c r="T236" i="1"/>
  <c r="U236" i="1" s="1"/>
  <c r="T258" i="1"/>
  <c r="T257" i="1" s="1"/>
  <c r="U229" i="1"/>
  <c r="W229" i="1" s="1"/>
  <c r="I276" i="1"/>
  <c r="I275" i="1" s="1"/>
  <c r="E275" i="1"/>
  <c r="G278" i="1"/>
  <c r="I278" i="1" s="1"/>
  <c r="G246" i="1"/>
  <c r="E244" i="1"/>
  <c r="N251" i="1"/>
  <c r="L249" i="1"/>
  <c r="F258" i="1"/>
  <c r="F257" i="1" s="1"/>
  <c r="F280" i="1" s="1"/>
  <c r="F283" i="1" s="1"/>
  <c r="O268" i="1"/>
  <c r="P273" i="1"/>
  <c r="P272" i="1" s="1"/>
  <c r="N272" i="1"/>
  <c r="H275" i="1"/>
  <c r="H257" i="1" s="1"/>
  <c r="U276" i="1"/>
  <c r="S275" i="1"/>
  <c r="E236" i="1"/>
  <c r="G236" i="1" s="1"/>
  <c r="U245" i="1"/>
  <c r="W247" i="1"/>
  <c r="G250" i="1"/>
  <c r="E249" i="1"/>
  <c r="G251" i="1"/>
  <c r="I251" i="1" s="1"/>
  <c r="N255" i="1"/>
  <c r="U256" i="1"/>
  <c r="W256" i="1" s="1"/>
  <c r="W255" i="1" s="1"/>
  <c r="S255" i="1"/>
  <c r="U255" i="1" s="1"/>
  <c r="I261" i="1"/>
  <c r="G263" i="1"/>
  <c r="I263" i="1" s="1"/>
  <c r="I265" i="1"/>
  <c r="E268" i="1"/>
  <c r="U269" i="1"/>
  <c r="O272" i="1"/>
  <c r="N276" i="1"/>
  <c r="P246" i="1"/>
  <c r="W251" i="1"/>
  <c r="S249" i="1"/>
  <c r="U252" i="1"/>
  <c r="W252" i="1" s="1"/>
  <c r="G254" i="1"/>
  <c r="I254" i="1" s="1"/>
  <c r="I253" i="1" s="1"/>
  <c r="E253" i="1"/>
  <c r="G253" i="1" s="1"/>
  <c r="G255" i="1"/>
  <c r="N256" i="1"/>
  <c r="P256" i="1" s="1"/>
  <c r="P255" i="1" s="1"/>
  <c r="O257" i="1"/>
  <c r="O280" i="1" s="1"/>
  <c r="O283" i="1" s="1"/>
  <c r="W263" i="1"/>
  <c r="G267" i="1"/>
  <c r="I267" i="1" s="1"/>
  <c r="P270" i="1"/>
  <c r="U273" i="1"/>
  <c r="I277" i="1"/>
  <c r="V238" i="1" l="1"/>
  <c r="V215" i="1" s="1"/>
  <c r="V280" i="1" s="1"/>
  <c r="V283" i="1" s="1"/>
  <c r="T238" i="1"/>
  <c r="U220" i="1"/>
  <c r="W220" i="1" s="1"/>
  <c r="W249" i="1"/>
  <c r="M238" i="1"/>
  <c r="N239" i="1"/>
  <c r="W245" i="1"/>
  <c r="W244" i="1" s="1"/>
  <c r="U244" i="1"/>
  <c r="H280" i="1"/>
  <c r="H283" i="1" s="1"/>
  <c r="P109" i="1"/>
  <c r="X4" i="1"/>
  <c r="P244" i="1"/>
  <c r="U109" i="1"/>
  <c r="I13" i="1"/>
  <c r="G4" i="1"/>
  <c r="P4" i="1"/>
  <c r="G99" i="1"/>
  <c r="I99" i="1" s="1"/>
  <c r="L215" i="1"/>
  <c r="L280" i="1" s="1"/>
  <c r="L283" i="1" s="1"/>
  <c r="G249" i="1"/>
  <c r="I250" i="1"/>
  <c r="I249" i="1" s="1"/>
  <c r="N249" i="1"/>
  <c r="P251" i="1"/>
  <c r="P249" i="1" s="1"/>
  <c r="L222" i="1"/>
  <c r="N258" i="1"/>
  <c r="P259" i="1"/>
  <c r="P258" i="1" s="1"/>
  <c r="W83" i="1"/>
  <c r="W217" i="1"/>
  <c r="U216" i="1"/>
  <c r="U110" i="1"/>
  <c r="W110" i="1" s="1"/>
  <c r="W111" i="1"/>
  <c r="G259" i="1"/>
  <c r="E258" i="1"/>
  <c r="E257" i="1" s="1"/>
  <c r="W224" i="1"/>
  <c r="N82" i="1"/>
  <c r="P82" i="1" s="1"/>
  <c r="P83" i="1"/>
  <c r="T82" i="1"/>
  <c r="W273" i="1"/>
  <c r="W272" i="1" s="1"/>
  <c r="U272" i="1"/>
  <c r="G244" i="1"/>
  <c r="I246" i="1"/>
  <c r="I244" i="1" s="1"/>
  <c r="U84" i="1"/>
  <c r="W84" i="1" s="1"/>
  <c r="S82" i="1"/>
  <c r="S3" i="1" s="1"/>
  <c r="S177" i="1" s="1"/>
  <c r="S180" i="1" s="1"/>
  <c r="G109" i="1"/>
  <c r="P217" i="1"/>
  <c r="N216" i="1"/>
  <c r="P276" i="1"/>
  <c r="P275" i="1" s="1"/>
  <c r="N275" i="1"/>
  <c r="P268" i="1"/>
  <c r="G223" i="1"/>
  <c r="E222" i="1"/>
  <c r="S216" i="1"/>
  <c r="G110" i="1"/>
  <c r="I110" i="1" s="1"/>
  <c r="I111" i="1"/>
  <c r="S222" i="1"/>
  <c r="W269" i="1"/>
  <c r="W268" i="1" s="1"/>
  <c r="U268" i="1"/>
  <c r="U275" i="1"/>
  <c r="W276" i="1"/>
  <c r="W275" i="1" s="1"/>
  <c r="G275" i="1"/>
  <c r="U249" i="1"/>
  <c r="N222" i="1"/>
  <c r="P223" i="1"/>
  <c r="P222" i="1" s="1"/>
  <c r="G239" i="1"/>
  <c r="E238" i="1"/>
  <c r="E215" i="1" s="1"/>
  <c r="S239" i="1"/>
  <c r="E3" i="1"/>
  <c r="E177" i="1" s="1"/>
  <c r="E180" i="1" s="1"/>
  <c r="U259" i="1"/>
  <c r="S258" i="1"/>
  <c r="S257" i="1" s="1"/>
  <c r="M82" i="1"/>
  <c r="M3" i="1" s="1"/>
  <c r="M177" i="1" s="1"/>
  <c r="M180" i="1" s="1"/>
  <c r="M216" i="1"/>
  <c r="M215" i="1" s="1"/>
  <c r="M280" i="1" s="1"/>
  <c r="M283" i="1" s="1"/>
  <c r="G216" i="1"/>
  <c r="I218" i="1"/>
  <c r="G26" i="1"/>
  <c r="I26" i="1" s="1"/>
  <c r="P216" i="1" l="1"/>
  <c r="N215" i="1"/>
  <c r="I4" i="1"/>
  <c r="G3" i="1"/>
  <c r="I3" i="1" s="1"/>
  <c r="I216" i="1"/>
  <c r="W259" i="1"/>
  <c r="W258" i="1" s="1"/>
  <c r="W257" i="1" s="1"/>
  <c r="U258" i="1"/>
  <c r="U257" i="1" s="1"/>
  <c r="I239" i="1"/>
  <c r="I238" i="1" s="1"/>
  <c r="G238" i="1"/>
  <c r="G215" i="1" s="1"/>
  <c r="E280" i="1"/>
  <c r="E283" i="1" s="1"/>
  <c r="W216" i="1"/>
  <c r="P257" i="1"/>
  <c r="N238" i="1"/>
  <c r="P239" i="1"/>
  <c r="P238" i="1" s="1"/>
  <c r="I109" i="1"/>
  <c r="I177" i="1" s="1"/>
  <c r="I180" i="1" s="1"/>
  <c r="G177" i="1"/>
  <c r="G180" i="1" s="1"/>
  <c r="I259" i="1"/>
  <c r="I258" i="1" s="1"/>
  <c r="I257" i="1" s="1"/>
  <c r="G258" i="1"/>
  <c r="G257" i="1" s="1"/>
  <c r="N257" i="1"/>
  <c r="N280" i="1" s="1"/>
  <c r="N283" i="1" s="1"/>
  <c r="N3" i="1"/>
  <c r="U239" i="1"/>
  <c r="S238" i="1"/>
  <c r="S215" i="1" s="1"/>
  <c r="S280" i="1" s="1"/>
  <c r="S283" i="1" s="1"/>
  <c r="I223" i="1"/>
  <c r="I222" i="1" s="1"/>
  <c r="G222" i="1"/>
  <c r="U82" i="1"/>
  <c r="W109" i="1"/>
  <c r="P3" i="1" l="1"/>
  <c r="P177" i="1" s="1"/>
  <c r="P180" i="1" s="1"/>
  <c r="N177" i="1"/>
  <c r="N180" i="1" s="1"/>
  <c r="W82" i="1"/>
  <c r="W239" i="1"/>
  <c r="W238" i="1" s="1"/>
  <c r="U238" i="1"/>
  <c r="G280" i="1"/>
  <c r="G283" i="1" s="1"/>
  <c r="I215" i="1"/>
  <c r="I280" i="1" s="1"/>
  <c r="I283" i="1" s="1"/>
  <c r="P215" i="1"/>
  <c r="P280" i="1" s="1"/>
  <c r="P283" i="1" s="1"/>
  <c r="W62" i="1"/>
  <c r="T230" i="1"/>
  <c r="U230" i="1" s="1"/>
  <c r="T222" i="1"/>
  <c r="T215" i="1" s="1"/>
  <c r="T280" i="1" s="1"/>
  <c r="T283" i="1" s="1"/>
  <c r="U62" i="1"/>
  <c r="T26" i="1"/>
  <c r="X26" i="1" s="1"/>
  <c r="X3" i="1" s="1"/>
  <c r="T3" i="1"/>
  <c r="T177" i="1" s="1"/>
  <c r="T180" i="1" s="1"/>
  <c r="U222" i="1" l="1"/>
  <c r="U215" i="1" s="1"/>
  <c r="U280" i="1" s="1"/>
  <c r="U283" i="1" s="1"/>
  <c r="W230" i="1"/>
  <c r="W222" i="1" s="1"/>
  <c r="W215" i="1" s="1"/>
  <c r="W280" i="1" s="1"/>
  <c r="W283" i="1" s="1"/>
  <c r="W26" i="1"/>
  <c r="U3" i="1"/>
  <c r="U177" i="1" l="1"/>
  <c r="U180" i="1" s="1"/>
  <c r="W3" i="1"/>
  <c r="W177" i="1" s="1"/>
  <c r="W180" i="1" s="1"/>
</calcChain>
</file>

<file path=xl/sharedStrings.xml><?xml version="1.0" encoding="utf-8"?>
<sst xmlns="http://schemas.openxmlformats.org/spreadsheetml/2006/main" count="770" uniqueCount="405">
  <si>
    <t xml:space="preserve">FINANČNI NAČRT </t>
  </si>
  <si>
    <t>real 2013</t>
  </si>
  <si>
    <t>šola</t>
  </si>
  <si>
    <t>vrtec</t>
  </si>
  <si>
    <t>skupaj</t>
  </si>
  <si>
    <t>dvorana</t>
  </si>
  <si>
    <t>SKUPAJ</t>
  </si>
  <si>
    <t>'46</t>
  </si>
  <si>
    <t>ZARAČUNANI ODHODKI DOLOČENIH UPORABNIKOV ENOTNEGA KONTNEGA NAČRTA</t>
  </si>
  <si>
    <t>'460</t>
  </si>
  <si>
    <t>STROŠKI MATERIALA</t>
  </si>
  <si>
    <t>'460000</t>
  </si>
  <si>
    <t>PISARNIŠKI MATERIAL</t>
  </si>
  <si>
    <t>'460001</t>
  </si>
  <si>
    <t>ČISTILNI MATERIAL</t>
  </si>
  <si>
    <t>R</t>
  </si>
  <si>
    <t>'460004</t>
  </si>
  <si>
    <t>ČASOPISI,REVIJE,KNJIGE IN STR.LIT.</t>
  </si>
  <si>
    <t>'460010</t>
  </si>
  <si>
    <t>ŽIVILA V ŠK</t>
  </si>
  <si>
    <t>'460011</t>
  </si>
  <si>
    <t>MATERIAL ZA OSEBNO HIGIENO</t>
  </si>
  <si>
    <t>'460013</t>
  </si>
  <si>
    <t>MATERIAL ZA KROŽKE</t>
  </si>
  <si>
    <t>'460014</t>
  </si>
  <si>
    <t>MATERIAL ZA VZDRŽEVANJE</t>
  </si>
  <si>
    <t xml:space="preserve">R </t>
  </si>
  <si>
    <t>'460099</t>
  </si>
  <si>
    <t>DRUGI SPLOŠNI MATERIAL</t>
  </si>
  <si>
    <t>'460100</t>
  </si>
  <si>
    <t>SLUŽBENA OBLEKA</t>
  </si>
  <si>
    <t>460101</t>
  </si>
  <si>
    <t>KNJIGE-ŠOLSKE</t>
  </si>
  <si>
    <t>'460102</t>
  </si>
  <si>
    <t>ZDRAVILA IN SANIT.MATERIAL</t>
  </si>
  <si>
    <t>460110</t>
  </si>
  <si>
    <t>KNJIGE-STROKOVNE</t>
  </si>
  <si>
    <t>'460111</t>
  </si>
  <si>
    <t>HRANA ZA ŽIVALI</t>
  </si>
  <si>
    <t>460113</t>
  </si>
  <si>
    <t>IGRAČE VAROVANCEV</t>
  </si>
  <si>
    <t>'460116</t>
  </si>
  <si>
    <t>MATERIAL ZA POUK</t>
  </si>
  <si>
    <t>'460200</t>
  </si>
  <si>
    <t>ELEKTRIČNA ENERGIJA</t>
  </si>
  <si>
    <t>'460201</t>
  </si>
  <si>
    <t>MATERIAL ZA OGREVANJE</t>
  </si>
  <si>
    <t>'460202</t>
  </si>
  <si>
    <t>DRUGA ENERGIJA-PLIN</t>
  </si>
  <si>
    <t>'460300</t>
  </si>
  <si>
    <t>POG.GORIVA IN MAZIVA</t>
  </si>
  <si>
    <t>'460302</t>
  </si>
  <si>
    <t>NAD.DELI ZA VOZILA</t>
  </si>
  <si>
    <t>´460800</t>
  </si>
  <si>
    <t>STR.MAT.IZ PREJŠNJIH OBDOBIJ</t>
  </si>
  <si>
    <t>'461</t>
  </si>
  <si>
    <t>STROŠKI STORITEV</t>
  </si>
  <si>
    <t>'461001</t>
  </si>
  <si>
    <t>STROŠKI ČIŠČENJA</t>
  </si>
  <si>
    <t>'461003</t>
  </si>
  <si>
    <t>ZALOŽNIŠKE IN TISKARSKE STORITVE</t>
  </si>
  <si>
    <t>461006</t>
  </si>
  <si>
    <t>OGLAŠEVALSKE STORITVE</t>
  </si>
  <si>
    <t>'461007</t>
  </si>
  <si>
    <t>RAČUNALNIŠKE STORITVE</t>
  </si>
  <si>
    <t>'461016</t>
  </si>
  <si>
    <t>STR. VSTOPNIN</t>
  </si>
  <si>
    <t>'461018</t>
  </si>
  <si>
    <t>STROŠKI ŠOLE V NARAVI</t>
  </si>
  <si>
    <t>'461019</t>
  </si>
  <si>
    <t>STROŠKI EKSKURZIJ</t>
  </si>
  <si>
    <t>461020</t>
  </si>
  <si>
    <t>STROŠKI KULTURNIH DNI</t>
  </si>
  <si>
    <t>'461021</t>
  </si>
  <si>
    <t>STROŠKI NARAVOSLOVNIH DNI</t>
  </si>
  <si>
    <t>'461023</t>
  </si>
  <si>
    <t>STROŠKI TEČAJEV</t>
  </si>
  <si>
    <t>'461024</t>
  </si>
  <si>
    <t>STROŠKI ŠPORTNIH DNI</t>
  </si>
  <si>
    <t>'461025</t>
  </si>
  <si>
    <t>STROŠKI IZLETOV UČENCEV</t>
  </si>
  <si>
    <t>'461099</t>
  </si>
  <si>
    <t>DRUGE SPLOŠNE STORITVE</t>
  </si>
  <si>
    <t>'461112</t>
  </si>
  <si>
    <t>ZDR.PREGLEDI DELAVCEV</t>
  </si>
  <si>
    <t>'461117</t>
  </si>
  <si>
    <t>STROŠKI PREDSTAV V ČRH</t>
  </si>
  <si>
    <t>'461199</t>
  </si>
  <si>
    <t>DRUGE POSEBNE STORITVE</t>
  </si>
  <si>
    <t>'461203</t>
  </si>
  <si>
    <t>VODA IN KOMUN.STOR.</t>
  </si>
  <si>
    <t>'461204</t>
  </si>
  <si>
    <t>ODVOZ SMETI</t>
  </si>
  <si>
    <t>'461205</t>
  </si>
  <si>
    <t>TELEKOMUNIKACIJSKE STOR.</t>
  </si>
  <si>
    <t>'461206</t>
  </si>
  <si>
    <t>POŠTNINA</t>
  </si>
  <si>
    <t>'461207</t>
  </si>
  <si>
    <t>PORABLJENA ENERGIJA,STORITVE - ČOPOVA HIŠA</t>
  </si>
  <si>
    <t>'461299</t>
  </si>
  <si>
    <t>DRUGE STORITVE KOMUNIKAC.IN KOMUNALE</t>
  </si>
  <si>
    <t>'461301</t>
  </si>
  <si>
    <t>VZDRŽ.IN POPRAVILO VOZIL</t>
  </si>
  <si>
    <t>'461304</t>
  </si>
  <si>
    <t>PRISTOJBINA ZA REG.VOZIL</t>
  </si>
  <si>
    <t>461305</t>
  </si>
  <si>
    <t>ZAVAROVALNA PREMIJA ZA MOTORNA VOZILA</t>
  </si>
  <si>
    <t>'461399</t>
  </si>
  <si>
    <t>PREVOZNI IN TRANSPORTNI STROŠKI</t>
  </si>
  <si>
    <t>'461400</t>
  </si>
  <si>
    <t>DNEVNICA-SLUŽB.POTOVANJE</t>
  </si>
  <si>
    <t>461401</t>
  </si>
  <si>
    <t>NOČNINE-SLUŽB.POTOVANJE</t>
  </si>
  <si>
    <t>'461402</t>
  </si>
  <si>
    <t>PREVOZNI STR.-SLUŽB.POTOVANJE</t>
  </si>
  <si>
    <t>461499</t>
  </si>
  <si>
    <t>DRUGI IZDATKI ZA SLUŽ.POTOV.</t>
  </si>
  <si>
    <t>'461500</t>
  </si>
  <si>
    <t>TEKOČE VZDRŽEVANJE</t>
  </si>
  <si>
    <t>461501</t>
  </si>
  <si>
    <t>STR.VZDRŽEVANJA-OBNOVE</t>
  </si>
  <si>
    <t>'461504</t>
  </si>
  <si>
    <t>ZAVAROV.PREMIJE-OBJEKTI IN OPR.</t>
  </si>
  <si>
    <t>'461510</t>
  </si>
  <si>
    <t>TEKOČE VZDR.KOMUNIK.IN RAČUNALNIKOV</t>
  </si>
  <si>
    <t>'461511</t>
  </si>
  <si>
    <t>TEKOČE VZDRŽ.-DRUGA OPREMA</t>
  </si>
  <si>
    <t>'461512</t>
  </si>
  <si>
    <t>ZAVAR.PREMIJE-OPREMA</t>
  </si>
  <si>
    <t>'461599</t>
  </si>
  <si>
    <t>DRUGI IZD.ZA VZDRŽ.IN ZAVAROVANJE</t>
  </si>
  <si>
    <t>'461604</t>
  </si>
  <si>
    <t>NAJEM RAČUNALNIŠKE IN PROGRAMSKE OPREME</t>
  </si>
  <si>
    <t>'461699</t>
  </si>
  <si>
    <t>DRUGE NAJEMNINE-FOTOK.STROJ...</t>
  </si>
  <si>
    <t>'461700</t>
  </si>
  <si>
    <t>DELO PO POGODBI</t>
  </si>
  <si>
    <t>'461701</t>
  </si>
  <si>
    <t>PRISPEVKI NA POD</t>
  </si>
  <si>
    <t>'461702</t>
  </si>
  <si>
    <t>DAVEK NA POD</t>
  </si>
  <si>
    <t>461800</t>
  </si>
  <si>
    <t>STR.STOR.IZ PRETEKLIH ODB.</t>
  </si>
  <si>
    <t>'461900</t>
  </si>
  <si>
    <t>STROŠKI SEMINARJEV</t>
  </si>
  <si>
    <t>'461903</t>
  </si>
  <si>
    <t>DELO PREKO ŠTUD.SERVISA</t>
  </si>
  <si>
    <t>'461907</t>
  </si>
  <si>
    <t>STR.IZOBRAŽ.ZAPOSLENIH-DNEVNICE,KILOM.,NOČNINE...</t>
  </si>
  <si>
    <t>461920</t>
  </si>
  <si>
    <t>STR.ODV,NOTARJEV</t>
  </si>
  <si>
    <t>'461923</t>
  </si>
  <si>
    <t>DRUGE ČLANARINE</t>
  </si>
  <si>
    <t>'461930</t>
  </si>
  <si>
    <t>PLAČILO STORITEV APP</t>
  </si>
  <si>
    <t>'461931</t>
  </si>
  <si>
    <t>PLAČILO BANČNIH STORITEV</t>
  </si>
  <si>
    <t>461942</t>
  </si>
  <si>
    <t>STR.KROŽKOV IN KONVERZACIJ</t>
  </si>
  <si>
    <t>461999</t>
  </si>
  <si>
    <t>DRUGI OPERATIVNI ODH.</t>
  </si>
  <si>
    <t>'462</t>
  </si>
  <si>
    <t>AMORTIZACIJA</t>
  </si>
  <si>
    <t>´462000</t>
  </si>
  <si>
    <t>AM  OS V UPRAVLJANJU</t>
  </si>
  <si>
    <t>'462001</t>
  </si>
  <si>
    <t>AM DI NA OS V UPRAVLJANJU</t>
  </si>
  <si>
    <t>'464</t>
  </si>
  <si>
    <t>STROŠKI DELA</t>
  </si>
  <si>
    <t>'464000</t>
  </si>
  <si>
    <t>OSNOVNE PLAČE-VKALK.BRUTO OD</t>
  </si>
  <si>
    <t>'464001</t>
  </si>
  <si>
    <t>PRISPEVKI NA OD ZAPOSLENIH</t>
  </si>
  <si>
    <t>'464020</t>
  </si>
  <si>
    <t>NADOMESTILO DO 30 DNI</t>
  </si>
  <si>
    <t>'464200</t>
  </si>
  <si>
    <t>STROŠKI PREVOZA NA DELO IN Z DELA</t>
  </si>
  <si>
    <t>'464300</t>
  </si>
  <si>
    <t>STROŠKI PREHRANE MED DELOM</t>
  </si>
  <si>
    <t>'464302</t>
  </si>
  <si>
    <t>STROŠKI DODATNEGA POKOJNINSKEGA ZAVAROVANJA</t>
  </si>
  <si>
    <t>'464401</t>
  </si>
  <si>
    <t>REGRES ZA LD</t>
  </si>
  <si>
    <t>'464490</t>
  </si>
  <si>
    <t>JUBILEJNE NAGRADE</t>
  </si>
  <si>
    <t>464491</t>
  </si>
  <si>
    <t>ODPRAVNINA</t>
  </si>
  <si>
    <t>'464492</t>
  </si>
  <si>
    <t>SOLIDARNOSTNA POMOČ</t>
  </si>
  <si>
    <t>'464911</t>
  </si>
  <si>
    <t>DAVEK NA IZPLAČANE PLAČE</t>
  </si>
  <si>
    <t>'465</t>
  </si>
  <si>
    <t>DRUGI STROŠKI</t>
  </si>
  <si>
    <t>465000</t>
  </si>
  <si>
    <t>DAVEK OD DOHODKOV PRAVNIH OSEB</t>
  </si>
  <si>
    <t>465200</t>
  </si>
  <si>
    <t>TAKSE IN PRISTOJBINE</t>
  </si>
  <si>
    <t>'465500</t>
  </si>
  <si>
    <t>NAGRADE DIJAK.IN ŠTUD.NA DELOV.PRAKSI SKUPAJ Z DAJATVAMI</t>
  </si>
  <si>
    <t>465940</t>
  </si>
  <si>
    <t>PRISP.ZA VZPOD.ZAP.INV.</t>
  </si>
  <si>
    <t>'467</t>
  </si>
  <si>
    <t>STROŠKI FINANCIRANJA</t>
  </si>
  <si>
    <t>'4670</t>
  </si>
  <si>
    <t>STROŠKI OBRESTI</t>
  </si>
  <si>
    <t>'467200</t>
  </si>
  <si>
    <t>ODHODKI NEGAT.TEČAJNIH RAZLIK</t>
  </si>
  <si>
    <t>4679</t>
  </si>
  <si>
    <t>DRUGI ODHODKI FINANCIRANJA</t>
  </si>
  <si>
    <t>'467932</t>
  </si>
  <si>
    <t>ZAMUDNE OBRESTI</t>
  </si>
  <si>
    <t>´468</t>
  </si>
  <si>
    <t>IZREDNI ODHODKI</t>
  </si>
  <si>
    <t>´4689</t>
  </si>
  <si>
    <t>DRUGI IZREDNI ODHODKI</t>
  </si>
  <si>
    <t>´468900</t>
  </si>
  <si>
    <t>DRUGI IZR.ODH-HUM.PRISP</t>
  </si>
  <si>
    <t>´469</t>
  </si>
  <si>
    <t>PREVREDN.POSLOVNI ODHODKI</t>
  </si>
  <si>
    <t>´469100</t>
  </si>
  <si>
    <t>PREVREDN.ODHOD.ZARADI OSLAB.TERJ.</t>
  </si>
  <si>
    <t>ZARAČUNANI PRIHODKI DOLOČENIH UPOABNIKOV EKN</t>
  </si>
  <si>
    <t>PRIHODKI OD PROD.PROIZVODOV IN STORITEV</t>
  </si>
  <si>
    <t>760000</t>
  </si>
  <si>
    <t>PREJETA SRED.IZ DRŽ.PRORAČ.-TEKOČE OBV.</t>
  </si>
  <si>
    <t>´760001</t>
  </si>
  <si>
    <t>PRIH.OD PRODAJE STOR.-UČBENIKI</t>
  </si>
  <si>
    <t>'760002</t>
  </si>
  <si>
    <t>PRIH.OD PRODAJE ŽIVIL ŠK</t>
  </si>
  <si>
    <t>'760004</t>
  </si>
  <si>
    <t>PREJETA SRED.IZ DRŽ.PRORAČ.-TEKOČA PORABA</t>
  </si>
  <si>
    <t>'760005</t>
  </si>
  <si>
    <t>PRIH.OD DRŽ.PROR.-ZA IZOBR.STR.DEL.</t>
  </si>
  <si>
    <t>760006</t>
  </si>
  <si>
    <t>PRIH.OD REP.PRORAČ.-JUBILEJNE NAGRADE</t>
  </si>
  <si>
    <t>´760007</t>
  </si>
  <si>
    <t>PRIH.OD REP.PRORAČ.-REGRES</t>
  </si>
  <si>
    <t>´760008</t>
  </si>
  <si>
    <t>PRIH.OD REP.PRORAČ.-SOLID.POMOČ</t>
  </si>
  <si>
    <t>´760009</t>
  </si>
  <si>
    <t>PRIH.OD REP.PRORAČ.-ODPRAVNINA</t>
  </si>
  <si>
    <t>'760011</t>
  </si>
  <si>
    <t>PRIH.OD DRŽ.PROR.-ZA EKSKURZIJE</t>
  </si>
  <si>
    <t>'760014</t>
  </si>
  <si>
    <t>PRIH.OD DRŽ.PRORAČ.-MATERIALNI STR.</t>
  </si>
  <si>
    <t>'760019</t>
  </si>
  <si>
    <t>PRIH.OD DRŽ.PRORAČ.-REGRESIRANA PREHRANA UČ.</t>
  </si>
  <si>
    <t>'760028</t>
  </si>
  <si>
    <t>PRIH.OD DRŽ.PRORAČ.-UČILA IN PRIPOM.</t>
  </si>
  <si>
    <t>'760034</t>
  </si>
  <si>
    <t>PRIH.OD DRŽ.PRORAČ.-ZA ŠOLO V NARAVI</t>
  </si>
  <si>
    <t>760037</t>
  </si>
  <si>
    <t>PRIH.OD DRŽ.PRORAČ.-ZA ŠTUD.SKUPINE</t>
  </si>
  <si>
    <t>'760043</t>
  </si>
  <si>
    <t>PRIH.OD DRŽ.PROR.-ZA SPREMLJ.EKS.</t>
  </si>
  <si>
    <t>760044</t>
  </si>
  <si>
    <t>PRIH.OD DRŽ.PROR.-POG.DELO,ŠS</t>
  </si>
  <si>
    <t>'760054</t>
  </si>
  <si>
    <t>PRIH.OD DRŽ.PROR.-ZA IZOBR.DR.DELAV.</t>
  </si>
  <si>
    <t>760061</t>
  </si>
  <si>
    <t>PRIH.OD DRŽ.PROR.-ZA ZDR. PREGLEDE DELAV.</t>
  </si>
  <si>
    <t>760070</t>
  </si>
  <si>
    <t>PRIH.OD DRŽ.PROR.-SUBVENC.OSKRBNIN</t>
  </si>
  <si>
    <t>´760080</t>
  </si>
  <si>
    <t>PRIH.IZ PREJŠNJIH OBRAČ.OBDOBIJ</t>
  </si>
  <si>
    <t>´760081</t>
  </si>
  <si>
    <t>PRIHODKI OD AGENCIJ</t>
  </si>
  <si>
    <t>'760099</t>
  </si>
  <si>
    <t>DRUGI PRIH.OD PRODAJE IN STORITEV</t>
  </si>
  <si>
    <t>'760100</t>
  </si>
  <si>
    <t>PREJ.SRED.IZ PRORAČ.LOKALNIH SKUPNOSTI-TEK.POR.</t>
  </si>
  <si>
    <t>'760101</t>
  </si>
  <si>
    <t>PREJETA SRED.IZ PRORAČ.LOK.SKUP.-INV.</t>
  </si>
  <si>
    <t>'760102</t>
  </si>
  <si>
    <t>PREJETA SRED.IZ PRORAČ.LOK.SKUP.-REGRES PREHR.OTROK</t>
  </si>
  <si>
    <t>'760103</t>
  </si>
  <si>
    <t>PREJETA SRED.IZ PRORAČ.LOK.SK.-REGRES ŠPORTNIH DEJ.</t>
  </si>
  <si>
    <t>'760107</t>
  </si>
  <si>
    <t>PREJ.SRED.LOK.SKUP.-REF.ZA ČOPOVO HIŠO</t>
  </si>
  <si>
    <t>'760110</t>
  </si>
  <si>
    <t>PREJ.SRED.IZ PRORAČ.LOK.SKUP.-SUBVENCIJE</t>
  </si>
  <si>
    <t>'760151</t>
  </si>
  <si>
    <t>PRIH.OBČ.PRORAČ.-MAT.STROŠKE</t>
  </si>
  <si>
    <t>'760152</t>
  </si>
  <si>
    <t>PRIH.OBČ.PRORAČ.-OGREVANJE</t>
  </si>
  <si>
    <t>'760153</t>
  </si>
  <si>
    <t>PRIH.OBČ.PRORAČ.-TEK.VZDRŽEVANJE</t>
  </si>
  <si>
    <t>'760155</t>
  </si>
  <si>
    <t>PRIH.OBČ.PRORAČ.-DODATNI PROGRAM</t>
  </si>
  <si>
    <t>'760200</t>
  </si>
  <si>
    <t>PRIHODKI OD ZAVODA ZA ZAPOSLOVANJE</t>
  </si>
  <si>
    <t>'760300</t>
  </si>
  <si>
    <t>PRIHODKI OD NAJEMNIN IN ZAKUPNIN</t>
  </si>
  <si>
    <t>'760400</t>
  </si>
  <si>
    <t>PRIH.OD PROD.STOR.-PLAČILA UČENCEV</t>
  </si>
  <si>
    <t>'760401</t>
  </si>
  <si>
    <t>PRIH.OD PROD.-PLAČILA UČBENIKOV</t>
  </si>
  <si>
    <t>'760402</t>
  </si>
  <si>
    <t>PRIH.OD PROD.STOR.-EKSKURZIJE UČ.</t>
  </si>
  <si>
    <t>'760403</t>
  </si>
  <si>
    <t>PRIH.OD PLAČ.STOR.-ŠOLA V NARAVI</t>
  </si>
  <si>
    <t>'760404</t>
  </si>
  <si>
    <t>PRIH.OD PLAČ.STOR.-ŠPORTNI DAN</t>
  </si>
  <si>
    <t>'760405</t>
  </si>
  <si>
    <t>PRIH.OD PLAČ.STOR.-KULTURNI DAN</t>
  </si>
  <si>
    <t>'760406</t>
  </si>
  <si>
    <t>PRIH.OD PROD.STOR.-NARAVOSLOVNI DAN</t>
  </si>
  <si>
    <t>'760407</t>
  </si>
  <si>
    <t>PRIHODKI OD PLAČIL UČ.-MATER.ZA POUK,KROŽK.</t>
  </si>
  <si>
    <t>760408</t>
  </si>
  <si>
    <t>PRIHODKI OD PLAČIL UČ.-KONČNI IZLET</t>
  </si>
  <si>
    <t>'760409</t>
  </si>
  <si>
    <t>PRIH.OD PROD.STOR.-TEČAJI</t>
  </si>
  <si>
    <t>'760410</t>
  </si>
  <si>
    <t>PRIH.OD PLAČ.STOR.-PREHRANA UČ.</t>
  </si>
  <si>
    <t>'760500</t>
  </si>
  <si>
    <t>PRIH.OD PROD.PROIZ.IN STOR.-VVE</t>
  </si>
  <si>
    <t>'760501</t>
  </si>
  <si>
    <t>PRIH.0D RAZNIH PLAČ.VAROVANCEV</t>
  </si>
  <si>
    <t>'760502</t>
  </si>
  <si>
    <t>PRIH.OD PLAČIL STOR.-PREHRANA OSKRBOVANCEV</t>
  </si>
  <si>
    <t>'760800</t>
  </si>
  <si>
    <t>PRIHODKI OD ZAVAROVALNICE-ODŠKODNINE</t>
  </si>
  <si>
    <t>'760900</t>
  </si>
  <si>
    <t>DRUGI PRIHODKI</t>
  </si>
  <si>
    <t>760901</t>
  </si>
  <si>
    <t>DRUGI PRIH.OD NAMEN.DONAC.</t>
  </si>
  <si>
    <t>PRIHODKI OD PROD.BLAGA IN MATERIALA</t>
  </si>
  <si>
    <t>761001</t>
  </si>
  <si>
    <t>PRIH.OD PROD.MAT.</t>
  </si>
  <si>
    <t>´761080</t>
  </si>
  <si>
    <t>'761101</t>
  </si>
  <si>
    <t>PRIH.OD PROD.MAT.IN ODPADKOV</t>
  </si>
  <si>
    <t>'761901</t>
  </si>
  <si>
    <t>PRIH.OD DONACIJ,NAM.POKR.STR.BLAGA IN MATERIALA</t>
  </si>
  <si>
    <t>PRIHODKI OD FINANCIRANJA</t>
  </si>
  <si>
    <t>'762000</t>
  </si>
  <si>
    <t>PRIHODKI OD OBRESTI</t>
  </si>
  <si>
    <t>´762900</t>
  </si>
  <si>
    <t>DRUGI PRIH.OD FINANCIRANJA</t>
  </si>
  <si>
    <t>IZREDNI PRIHODKI</t>
  </si>
  <si>
    <t>´763101</t>
  </si>
  <si>
    <t>DRUGI IZREDNI PRIHODKI</t>
  </si>
  <si>
    <t>´7633</t>
  </si>
  <si>
    <t>PREJETE ODŠKODNINE</t>
  </si>
  <si>
    <t>´763900</t>
  </si>
  <si>
    <t>PRESEŽEK PRIHODKOV/ODHODKOV NAD PRIH.</t>
  </si>
  <si>
    <t>davek od dobička pravnih oseb</t>
  </si>
  <si>
    <t>PRES. PRIH. NAD ODH.PRET.LET</t>
  </si>
  <si>
    <t>Ravnateljica:</t>
  </si>
  <si>
    <t>Sestavila: Tramte Blanka</t>
  </si>
  <si>
    <t>Ana Klemenc</t>
  </si>
  <si>
    <t>PLAN 2014</t>
  </si>
  <si>
    <t>PISARNIŠKI IN SPLOŠ.MATERIAL</t>
  </si>
  <si>
    <t>POSEBNI MATERIAL</t>
  </si>
  <si>
    <t>ENERGIJA</t>
  </si>
  <si>
    <t>POGONSKA GORIVA IN NAD.DELI</t>
  </si>
  <si>
    <t>STR.MAT.IZ PRET.OBDOBIJ</t>
  </si>
  <si>
    <t>SPLOŠNI STROŠKI-ZA UČENCE</t>
  </si>
  <si>
    <t>SPLOŠNI STROŠKI-OSTALO</t>
  </si>
  <si>
    <t>POSEBNI STROŠKI</t>
  </si>
  <si>
    <t>STR.VODE,KOMUNALE IN KOMUN.</t>
  </si>
  <si>
    <t>PREVOZNI STROŠKI- VOZILA</t>
  </si>
  <si>
    <t>PREVOZNI STROŠKI-UČENCI,VAROV.</t>
  </si>
  <si>
    <t>STROŠKI SLUŽBENEGA POTOV.</t>
  </si>
  <si>
    <t>STR.TEKOČ.IN INV.VZDR.,ZAVAR</t>
  </si>
  <si>
    <t>STR.NAJEMNIN IN ZAKUPNIN</t>
  </si>
  <si>
    <t>STR.POGODBENEGA DELA</t>
  </si>
  <si>
    <t>STR.STOR.IZ PRET.OBD</t>
  </si>
  <si>
    <t>DRUGI OPERAT.ODH-IZOBRAŽ.</t>
  </si>
  <si>
    <t>DRUGI OPERAT.ODH-OSTALO</t>
  </si>
  <si>
    <t>STROŠKI AM DI</t>
  </si>
  <si>
    <t>PLAČE IN PRISP.ZAPOSLENIH</t>
  </si>
  <si>
    <t>POVRAČILA ZAPOSLENIH</t>
  </si>
  <si>
    <t>STR.DOD.POKOJ.ZAVAROVANJA</t>
  </si>
  <si>
    <t>REGRES,JUB.NAG,ODPRAV.,SOL</t>
  </si>
  <si>
    <t>DAVEK NA IZP.PLAČE</t>
  </si>
  <si>
    <t>DAVEK OD DOHODKA PRAVNIH OSEB</t>
  </si>
  <si>
    <t>TAKSE  IN PRISTOJBINE</t>
  </si>
  <si>
    <t>NAGRADE DIJAKOM IN ŠTUD.</t>
  </si>
  <si>
    <t>STR.OBRESTI</t>
  </si>
  <si>
    <t>ODH.NEGAT.TEČAJNIH RAZLIK</t>
  </si>
  <si>
    <t>PREVRED.POSL.ODHODKI</t>
  </si>
  <si>
    <t>´4691</t>
  </si>
  <si>
    <t>PRIH.OD DRŽAVNEGA PRORAČ.</t>
  </si>
  <si>
    <t>DRUGI PRIHODKI-DEL</t>
  </si>
  <si>
    <t>PRIH.OD OBČINSKEGA PRORAČ.</t>
  </si>
  <si>
    <t>PRIH.OD ZAVODA ZA ZAPOSL.</t>
  </si>
  <si>
    <t>PRIHODKI OD NAJEMNIN IN ZAK.</t>
  </si>
  <si>
    <t>PRIH.OD PROD.STOR.-UČENCI</t>
  </si>
  <si>
    <t>PRIH.OD PROD.STOR.-VAROVANCI</t>
  </si>
  <si>
    <t>PRIH.OD ZAVAROVALNICE IN AGENCIJ</t>
  </si>
  <si>
    <t>PRIH.IZ PREJŠNJIH OBR.OBD.</t>
  </si>
  <si>
    <t>PRIH.OD PROD.MAT.IN ODPAD.</t>
  </si>
  <si>
    <t>PRIH.OD NAMEN.DONACIJ ZA B.</t>
  </si>
  <si>
    <t>PRIH.OD OBRESTI</t>
  </si>
  <si>
    <t>DRUGI PRIH.OD FINANC.</t>
  </si>
  <si>
    <t>PRESEŽEK ODHODKOV NAD PRIH.</t>
  </si>
  <si>
    <t>PRESEŽEK PRIHODKOV NAD ODH.</t>
  </si>
  <si>
    <t>DAVEK OD DOH.P.O.</t>
  </si>
  <si>
    <t>UGOTOVLJEN POSLOVNI IZID</t>
  </si>
  <si>
    <t>real 2014</t>
  </si>
  <si>
    <t>REAL 2014</t>
  </si>
  <si>
    <t>Zabreznica, 26.2.2015</t>
  </si>
  <si>
    <t>plan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</si>
</sst>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0"/>
      <name val="Tahoma"/>
      <family val="2"/>
    </font>
    <font>
      <sz val="10"/>
      <color rgb="FFFFFFFF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color indexed="10"/>
      <name val="Arial CE"/>
      <charset val="238"/>
    </font>
    <font>
      <b/>
      <sz val="8"/>
      <color indexed="10"/>
      <name val="Arial CE"/>
      <charset val="238"/>
    </font>
    <font>
      <b/>
      <sz val="8"/>
      <color rgb="FFFF0000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8"/>
      <color rgb="FFFF0000"/>
      <name val="Tahoma"/>
      <family val="2"/>
    </font>
    <font>
      <b/>
      <sz val="8"/>
      <color rgb="FFFF000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8"/>
      <name val="Tahoma"/>
      <family val="2"/>
    </font>
    <font>
      <b/>
      <sz val="8"/>
      <name val="Tahoma"/>
      <family val="2"/>
      <charset val="238"/>
    </font>
    <font>
      <b/>
      <sz val="8"/>
      <name val="Arial"/>
      <family val="2"/>
      <charset val="238"/>
    </font>
    <font>
      <sz val="8"/>
      <color indexed="10"/>
      <name val="Tahoma"/>
      <family val="2"/>
    </font>
    <font>
      <sz val="8"/>
      <color indexed="10"/>
      <name val="Tahoma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10"/>
      <name val="Tahoma"/>
      <family val="2"/>
    </font>
    <font>
      <sz val="8"/>
      <color indexed="9"/>
      <name val="Tahoma"/>
      <family val="2"/>
      <charset val="238"/>
    </font>
    <font>
      <sz val="10"/>
      <color indexed="9"/>
      <name val="Arial"/>
      <family val="2"/>
      <charset val="238"/>
    </font>
    <font>
      <b/>
      <sz val="8"/>
      <name val="Tahoma"/>
      <family val="2"/>
    </font>
    <font>
      <sz val="8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Tahoma"/>
      <family val="2"/>
      <charset val="238"/>
    </font>
    <font>
      <sz val="8"/>
      <color theme="0"/>
      <name val="Tahoma"/>
      <family val="2"/>
    </font>
    <font>
      <sz val="11"/>
      <name val="Calibri"/>
      <family val="2"/>
      <charset val="238"/>
      <scheme val="minor"/>
    </font>
    <font>
      <sz val="10"/>
      <color indexed="9"/>
      <name val="Tahoma"/>
      <family val="2"/>
      <charset val="238"/>
    </font>
    <font>
      <sz val="10"/>
      <color rgb="FFFFFFFF"/>
      <name val="Tahoma"/>
      <family val="2"/>
      <charset val="238"/>
    </font>
    <font>
      <sz val="10"/>
      <color theme="1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41">
    <xf numFmtId="0" fontId="0" fillId="0" borderId="0" xfId="0"/>
    <xf numFmtId="0" fontId="3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/>
    <xf numFmtId="4" fontId="1" fillId="0" borderId="4" xfId="0" applyNumberFormat="1" applyFont="1" applyFill="1" applyBorder="1" applyAlignment="1">
      <alignment wrapText="1"/>
    </xf>
    <xf numFmtId="0" fontId="7" fillId="0" borderId="5" xfId="1" applyFont="1" applyBorder="1"/>
    <xf numFmtId="0" fontId="7" fillId="0" borderId="4" xfId="1" applyFont="1" applyBorder="1"/>
    <xf numFmtId="4" fontId="8" fillId="0" borderId="4" xfId="2" applyNumberFormat="1" applyFont="1" applyFill="1" applyBorder="1" applyAlignment="1"/>
    <xf numFmtId="4" fontId="8" fillId="0" borderId="4" xfId="2" applyNumberFormat="1" applyFont="1" applyFill="1" applyBorder="1"/>
    <xf numFmtId="0" fontId="9" fillId="0" borderId="5" xfId="1" applyFont="1" applyBorder="1"/>
    <xf numFmtId="0" fontId="9" fillId="0" borderId="4" xfId="1" applyFont="1" applyBorder="1"/>
    <xf numFmtId="4" fontId="9" fillId="0" borderId="4" xfId="2" applyNumberFormat="1" applyFont="1" applyFill="1" applyBorder="1" applyAlignment="1"/>
    <xf numFmtId="4" fontId="9" fillId="0" borderId="4" xfId="2" applyNumberFormat="1" applyFont="1" applyFill="1" applyBorder="1"/>
    <xf numFmtId="4" fontId="10" fillId="7" borderId="4" xfId="2" applyNumberFormat="1" applyFont="1" applyFill="1" applyBorder="1"/>
    <xf numFmtId="4" fontId="10" fillId="9" borderId="4" xfId="2" applyNumberFormat="1" applyFont="1" applyFill="1" applyBorder="1"/>
    <xf numFmtId="4" fontId="10" fillId="0" borderId="4" xfId="2" applyNumberFormat="1" applyFont="1" applyBorder="1"/>
    <xf numFmtId="4" fontId="10" fillId="6" borderId="4" xfId="2" applyNumberFormat="1" applyFont="1" applyFill="1" applyBorder="1"/>
    <xf numFmtId="4" fontId="11" fillId="0" borderId="4" xfId="2" applyNumberFormat="1" applyFont="1" applyFill="1" applyBorder="1"/>
    <xf numFmtId="4" fontId="10" fillId="0" borderId="4" xfId="2" applyNumberFormat="1" applyFont="1" applyFill="1" applyBorder="1" applyAlignment="1"/>
    <xf numFmtId="4" fontId="10" fillId="0" borderId="4" xfId="2" applyNumberFormat="1" applyFont="1" applyFill="1" applyBorder="1"/>
    <xf numFmtId="3" fontId="10" fillId="7" borderId="4" xfId="2" applyNumberFormat="1" applyFont="1" applyFill="1" applyBorder="1"/>
    <xf numFmtId="3" fontId="10" fillId="9" borderId="4" xfId="2" applyNumberFormat="1" applyFont="1" applyFill="1" applyBorder="1"/>
    <xf numFmtId="3" fontId="10" fillId="0" borderId="4" xfId="2" applyNumberFormat="1" applyFont="1" applyBorder="1"/>
    <xf numFmtId="3" fontId="10" fillId="6" borderId="4" xfId="2" applyNumberFormat="1" applyFont="1" applyFill="1" applyBorder="1"/>
    <xf numFmtId="3" fontId="11" fillId="0" borderId="4" xfId="2" applyNumberFormat="1" applyFont="1" applyFill="1" applyBorder="1"/>
    <xf numFmtId="3" fontId="10" fillId="10" borderId="4" xfId="2" applyNumberFormat="1" applyFont="1" applyFill="1" applyBorder="1"/>
    <xf numFmtId="3" fontId="0" fillId="0" borderId="0" xfId="0" applyNumberFormat="1"/>
    <xf numFmtId="4" fontId="7" fillId="0" borderId="4" xfId="2" applyNumberFormat="1" applyFont="1" applyFill="1" applyBorder="1"/>
    <xf numFmtId="4" fontId="7" fillId="11" borderId="4" xfId="2" applyNumberFormat="1" applyFont="1" applyFill="1" applyBorder="1"/>
    <xf numFmtId="4" fontId="7" fillId="8" borderId="4" xfId="1" applyNumberFormat="1" applyFont="1" applyFill="1" applyBorder="1"/>
    <xf numFmtId="4" fontId="7" fillId="0" borderId="4" xfId="1" applyNumberFormat="1" applyFont="1" applyFill="1" applyBorder="1"/>
    <xf numFmtId="4" fontId="7" fillId="6" borderId="4" xfId="2" applyNumberFormat="1" applyFont="1" applyFill="1" applyBorder="1"/>
    <xf numFmtId="3" fontId="12" fillId="4" borderId="4" xfId="0" applyNumberFormat="1" applyFont="1" applyFill="1" applyBorder="1"/>
    <xf numFmtId="3" fontId="12" fillId="5" borderId="4" xfId="0" applyNumberFormat="1" applyFont="1" applyFill="1" applyBorder="1"/>
    <xf numFmtId="3" fontId="13" fillId="0" borderId="4" xfId="0" applyNumberFormat="1" applyFont="1" applyFill="1" applyBorder="1"/>
    <xf numFmtId="3" fontId="7" fillId="6" borderId="4" xfId="2" applyNumberFormat="1" applyFont="1" applyFill="1" applyBorder="1"/>
    <xf numFmtId="3" fontId="7" fillId="0" borderId="4" xfId="2" applyNumberFormat="1" applyFont="1" applyFill="1" applyBorder="1"/>
    <xf numFmtId="0" fontId="7" fillId="12" borderId="4" xfId="1" applyFont="1" applyFill="1" applyBorder="1"/>
    <xf numFmtId="3" fontId="12" fillId="4" borderId="6" xfId="0" applyNumberFormat="1" applyFont="1" applyFill="1" applyBorder="1"/>
    <xf numFmtId="0" fontId="7" fillId="0" borderId="5" xfId="1" quotePrefix="1" applyFont="1" applyBorder="1"/>
    <xf numFmtId="3" fontId="12" fillId="4" borderId="6" xfId="0" applyNumberFormat="1" applyFont="1" applyFill="1" applyBorder="1" applyAlignment="1">
      <alignment horizontal="right"/>
    </xf>
    <xf numFmtId="4" fontId="14" fillId="7" borderId="4" xfId="2" applyNumberFormat="1" applyFont="1" applyFill="1" applyBorder="1"/>
    <xf numFmtId="4" fontId="14" fillId="9" borderId="4" xfId="2" applyNumberFormat="1" applyFont="1" applyFill="1" applyBorder="1"/>
    <xf numFmtId="4" fontId="14" fillId="0" borderId="4" xfId="2" applyNumberFormat="1" applyFont="1" applyBorder="1"/>
    <xf numFmtId="4" fontId="14" fillId="6" borderId="4" xfId="2" applyNumberFormat="1" applyFont="1" applyFill="1" applyBorder="1"/>
    <xf numFmtId="4" fontId="15" fillId="0" borderId="4" xfId="2" applyNumberFormat="1" applyFont="1" applyFill="1" applyBorder="1"/>
    <xf numFmtId="0" fontId="7" fillId="13" borderId="4" xfId="1" applyFont="1" applyFill="1" applyBorder="1"/>
    <xf numFmtId="3" fontId="12" fillId="5" borderId="6" xfId="0" applyNumberFormat="1" applyFont="1" applyFill="1" applyBorder="1"/>
    <xf numFmtId="0" fontId="7" fillId="14" borderId="4" xfId="1" applyFont="1" applyFill="1" applyBorder="1"/>
    <xf numFmtId="0" fontId="7" fillId="15" borderId="4" xfId="1" applyFont="1" applyFill="1" applyBorder="1"/>
    <xf numFmtId="0" fontId="7" fillId="0" borderId="5" xfId="2" applyFont="1" applyBorder="1"/>
    <xf numFmtId="0" fontId="7" fillId="0" borderId="4" xfId="2" applyFont="1" applyBorder="1"/>
    <xf numFmtId="4" fontId="7" fillId="0" borderId="4" xfId="2" applyNumberFormat="1" applyFont="1" applyFill="1" applyBorder="1" applyAlignment="1"/>
    <xf numFmtId="4" fontId="11" fillId="4" borderId="6" xfId="0" applyNumberFormat="1" applyFont="1" applyFill="1" applyBorder="1"/>
    <xf numFmtId="4" fontId="11" fillId="5" borderId="6" xfId="0" applyNumberFormat="1" applyFont="1" applyFill="1" applyBorder="1"/>
    <xf numFmtId="4" fontId="11" fillId="0" borderId="4" xfId="0" applyNumberFormat="1" applyFont="1" applyBorder="1"/>
    <xf numFmtId="4" fontId="11" fillId="6" borderId="4" xfId="0" applyNumberFormat="1" applyFont="1" applyFill="1" applyBorder="1"/>
    <xf numFmtId="3" fontId="11" fillId="4" borderId="6" xfId="0" applyNumberFormat="1" applyFont="1" applyFill="1" applyBorder="1"/>
    <xf numFmtId="3" fontId="11" fillId="5" borderId="6" xfId="0" applyNumberFormat="1" applyFont="1" applyFill="1" applyBorder="1"/>
    <xf numFmtId="3" fontId="11" fillId="0" borderId="4" xfId="0" applyNumberFormat="1" applyFont="1" applyBorder="1"/>
    <xf numFmtId="3" fontId="11" fillId="6" borderId="4" xfId="0" applyNumberFormat="1" applyFont="1" applyFill="1" applyBorder="1"/>
    <xf numFmtId="0" fontId="16" fillId="0" borderId="5" xfId="1" applyFont="1" applyBorder="1"/>
    <xf numFmtId="0" fontId="16" fillId="0" borderId="4" xfId="1" applyFont="1" applyBorder="1"/>
    <xf numFmtId="4" fontId="16" fillId="0" borderId="4" xfId="2" applyNumberFormat="1" applyFont="1" applyFill="1" applyBorder="1" applyAlignment="1"/>
    <xf numFmtId="4" fontId="16" fillId="0" borderId="4" xfId="2" applyNumberFormat="1" applyFont="1" applyFill="1" applyBorder="1"/>
    <xf numFmtId="4" fontId="16" fillId="8" borderId="4" xfId="1" applyNumberFormat="1" applyFont="1" applyFill="1" applyBorder="1"/>
    <xf numFmtId="4" fontId="16" fillId="6" borderId="4" xfId="2" applyNumberFormat="1" applyFont="1" applyFill="1" applyBorder="1"/>
    <xf numFmtId="3" fontId="7" fillId="0" borderId="4" xfId="2" applyNumberFormat="1" applyFont="1" applyBorder="1"/>
    <xf numFmtId="3" fontId="16" fillId="6" borderId="4" xfId="2" applyNumberFormat="1" applyFont="1" applyFill="1" applyBorder="1"/>
    <xf numFmtId="3" fontId="12" fillId="16" borderId="6" xfId="0" applyNumberFormat="1" applyFont="1" applyFill="1" applyBorder="1"/>
    <xf numFmtId="4" fontId="9" fillId="0" borderId="4" xfId="1" applyNumberFormat="1" applyFont="1" applyFill="1" applyBorder="1" applyAlignment="1"/>
    <xf numFmtId="4" fontId="9" fillId="0" borderId="4" xfId="1" applyNumberFormat="1" applyFont="1" applyFill="1" applyBorder="1"/>
    <xf numFmtId="4" fontId="10" fillId="7" borderId="4" xfId="1" applyNumberFormat="1" applyFont="1" applyFill="1" applyBorder="1"/>
    <xf numFmtId="4" fontId="10" fillId="9" borderId="4" xfId="1" applyNumberFormat="1" applyFont="1" applyFill="1" applyBorder="1"/>
    <xf numFmtId="4" fontId="10" fillId="0" borderId="4" xfId="1" applyNumberFormat="1" applyFont="1" applyFill="1" applyBorder="1"/>
    <xf numFmtId="4" fontId="10" fillId="6" borderId="4" xfId="1" applyNumberFormat="1" applyFont="1" applyFill="1" applyBorder="1"/>
    <xf numFmtId="4" fontId="10" fillId="0" borderId="4" xfId="1" applyNumberFormat="1" applyFont="1" applyFill="1" applyBorder="1" applyAlignment="1"/>
    <xf numFmtId="3" fontId="10" fillId="7" borderId="4" xfId="1" applyNumberFormat="1" applyFont="1" applyFill="1" applyBorder="1"/>
    <xf numFmtId="3" fontId="10" fillId="9" borderId="4" xfId="1" applyNumberFormat="1" applyFont="1" applyFill="1" applyBorder="1"/>
    <xf numFmtId="3" fontId="10" fillId="0" borderId="4" xfId="1" applyNumberFormat="1" applyFont="1" applyFill="1" applyBorder="1"/>
    <xf numFmtId="3" fontId="10" fillId="6" borderId="4" xfId="1" applyNumberFormat="1" applyFont="1" applyFill="1" applyBorder="1"/>
    <xf numFmtId="4" fontId="7" fillId="11" borderId="4" xfId="1" applyNumberFormat="1" applyFont="1" applyFill="1" applyBorder="1"/>
    <xf numFmtId="4" fontId="7" fillId="6" borderId="4" xfId="1" applyNumberFormat="1" applyFont="1" applyFill="1" applyBorder="1"/>
    <xf numFmtId="0" fontId="7" fillId="15" borderId="7" xfId="1" applyFont="1" applyFill="1" applyBorder="1"/>
    <xf numFmtId="0" fontId="7" fillId="0" borderId="8" xfId="1" applyFont="1" applyBorder="1"/>
    <xf numFmtId="0" fontId="7" fillId="0" borderId="7" xfId="1" applyFont="1" applyFill="1" applyBorder="1"/>
    <xf numFmtId="0" fontId="17" fillId="0" borderId="4" xfId="1" applyFont="1" applyBorder="1"/>
    <xf numFmtId="0" fontId="17" fillId="0" borderId="4" xfId="1" applyFont="1" applyFill="1" applyBorder="1"/>
    <xf numFmtId="4" fontId="17" fillId="0" borderId="4" xfId="2" applyNumberFormat="1" applyFont="1" applyFill="1" applyBorder="1" applyAlignment="1"/>
    <xf numFmtId="4" fontId="17" fillId="0" borderId="4" xfId="2" applyNumberFormat="1" applyFont="1" applyFill="1" applyBorder="1"/>
    <xf numFmtId="4" fontId="18" fillId="4" borderId="4" xfId="0" applyNumberFormat="1" applyFont="1" applyFill="1" applyBorder="1"/>
    <xf numFmtId="2" fontId="19" fillId="0" borderId="4" xfId="0" applyNumberFormat="1" applyFont="1" applyBorder="1"/>
    <xf numFmtId="2" fontId="19" fillId="6" borderId="4" xfId="0" applyNumberFormat="1" applyFont="1" applyFill="1" applyBorder="1"/>
    <xf numFmtId="4" fontId="20" fillId="0" borderId="4" xfId="2" applyNumberFormat="1" applyFont="1" applyFill="1" applyBorder="1" applyAlignment="1"/>
    <xf numFmtId="4" fontId="20" fillId="0" borderId="4" xfId="2" applyNumberFormat="1" applyFont="1" applyFill="1" applyBorder="1"/>
    <xf numFmtId="3" fontId="18" fillId="4" borderId="4" xfId="0" applyNumberFormat="1" applyFont="1" applyFill="1" applyBorder="1"/>
    <xf numFmtId="3" fontId="19" fillId="0" borderId="4" xfId="0" applyNumberFormat="1" applyFont="1" applyBorder="1"/>
    <xf numFmtId="3" fontId="19" fillId="6" borderId="4" xfId="0" applyNumberFormat="1" applyFont="1" applyFill="1" applyBorder="1"/>
    <xf numFmtId="0" fontId="7" fillId="0" borderId="7" xfId="1" applyFont="1" applyBorder="1"/>
    <xf numFmtId="0" fontId="21" fillId="6" borderId="4" xfId="0" applyFont="1" applyFill="1" applyBorder="1"/>
    <xf numFmtId="0" fontId="16" fillId="0" borderId="4" xfId="1" applyFont="1" applyFill="1" applyBorder="1"/>
    <xf numFmtId="4" fontId="12" fillId="4" borderId="6" xfId="0" applyNumberFormat="1" applyFont="1" applyFill="1" applyBorder="1"/>
    <xf numFmtId="4" fontId="12" fillId="5" borderId="6" xfId="0" applyNumberFormat="1" applyFont="1" applyFill="1" applyBorder="1"/>
    <xf numFmtId="0" fontId="1" fillId="0" borderId="0" xfId="0" applyFont="1" applyFill="1"/>
    <xf numFmtId="4" fontId="22" fillId="0" borderId="4" xfId="0" applyNumberFormat="1" applyFont="1" applyFill="1" applyBorder="1" applyAlignment="1"/>
    <xf numFmtId="4" fontId="22" fillId="0" borderId="4" xfId="0" applyNumberFormat="1" applyFont="1" applyFill="1" applyBorder="1"/>
    <xf numFmtId="4" fontId="23" fillId="7" borderId="4" xfId="0" applyNumberFormat="1" applyFont="1" applyFill="1" applyBorder="1"/>
    <xf numFmtId="4" fontId="23" fillId="8" borderId="4" xfId="0" applyNumberFormat="1" applyFont="1" applyFill="1" applyBorder="1"/>
    <xf numFmtId="4" fontId="23" fillId="0" borderId="4" xfId="2" applyNumberFormat="1" applyFont="1" applyBorder="1"/>
    <xf numFmtId="4" fontId="23" fillId="6" borderId="4" xfId="0" applyNumberFormat="1" applyFont="1" applyFill="1" applyBorder="1"/>
    <xf numFmtId="4" fontId="23" fillId="0" borderId="4" xfId="2" applyNumberFormat="1" applyFont="1" applyFill="1" applyBorder="1"/>
    <xf numFmtId="4" fontId="23" fillId="0" borderId="4" xfId="0" applyNumberFormat="1" applyFont="1" applyFill="1" applyBorder="1" applyAlignment="1"/>
    <xf numFmtId="4" fontId="23" fillId="0" borderId="4" xfId="0" applyNumberFormat="1" applyFont="1" applyFill="1" applyBorder="1"/>
    <xf numFmtId="3" fontId="23" fillId="7" borderId="4" xfId="0" applyNumberFormat="1" applyFont="1" applyFill="1" applyBorder="1"/>
    <xf numFmtId="3" fontId="23" fillId="8" borderId="4" xfId="0" applyNumberFormat="1" applyFont="1" applyFill="1" applyBorder="1"/>
    <xf numFmtId="3" fontId="23" fillId="0" borderId="4" xfId="2" applyNumberFormat="1" applyFont="1" applyBorder="1"/>
    <xf numFmtId="3" fontId="23" fillId="6" borderId="4" xfId="0" applyNumberFormat="1" applyFont="1" applyFill="1" applyBorder="1"/>
    <xf numFmtId="3" fontId="23" fillId="0" borderId="4" xfId="2" applyNumberFormat="1" applyFont="1" applyFill="1" applyBorder="1"/>
    <xf numFmtId="0" fontId="24" fillId="0" borderId="0" xfId="0" applyFont="1" applyFill="1"/>
    <xf numFmtId="4" fontId="1" fillId="0" borderId="4" xfId="0" applyNumberFormat="1" applyFont="1" applyFill="1" applyBorder="1" applyAlignment="1"/>
    <xf numFmtId="4" fontId="1" fillId="0" borderId="4" xfId="0" applyNumberFormat="1" applyFont="1" applyFill="1" applyBorder="1"/>
    <xf numFmtId="4" fontId="14" fillId="7" borderId="4" xfId="0" applyNumberFormat="1" applyFont="1" applyFill="1" applyBorder="1"/>
    <xf numFmtId="4" fontId="14" fillId="17" borderId="4" xfId="0" applyNumberFormat="1" applyFont="1" applyFill="1" applyBorder="1"/>
    <xf numFmtId="4" fontId="14" fillId="0" borderId="4" xfId="0" applyNumberFormat="1" applyFont="1" applyFill="1" applyBorder="1"/>
    <xf numFmtId="4" fontId="14" fillId="6" borderId="4" xfId="0" applyNumberFormat="1" applyFont="1" applyFill="1" applyBorder="1"/>
    <xf numFmtId="3" fontId="14" fillId="7" borderId="4" xfId="0" applyNumberFormat="1" applyFont="1" applyFill="1" applyBorder="1"/>
    <xf numFmtId="3" fontId="14" fillId="17" borderId="4" xfId="0" applyNumberFormat="1" applyFont="1" applyFill="1" applyBorder="1"/>
    <xf numFmtId="3" fontId="14" fillId="0" borderId="4" xfId="0" applyNumberFormat="1" applyFont="1" applyFill="1" applyBorder="1"/>
    <xf numFmtId="3" fontId="14" fillId="6" borderId="4" xfId="0" applyNumberFormat="1" applyFont="1" applyFill="1" applyBorder="1"/>
    <xf numFmtId="3" fontId="15" fillId="0" borderId="4" xfId="2" applyNumberFormat="1" applyFont="1" applyFill="1" applyBorder="1"/>
    <xf numFmtId="0" fontId="13" fillId="0" borderId="4" xfId="0" quotePrefix="1" applyFont="1" applyBorder="1"/>
    <xf numFmtId="0" fontId="13" fillId="0" borderId="4" xfId="0" applyFont="1" applyBorder="1"/>
    <xf numFmtId="4" fontId="13" fillId="8" borderId="4" xfId="0" applyNumberFormat="1" applyFont="1" applyFill="1" applyBorder="1"/>
    <xf numFmtId="3" fontId="7" fillId="18" borderId="9" xfId="0" applyNumberFormat="1" applyFont="1" applyFill="1" applyBorder="1"/>
    <xf numFmtId="3" fontId="7" fillId="18" borderId="6" xfId="0" applyNumberFormat="1" applyFont="1" applyFill="1" applyBorder="1"/>
    <xf numFmtId="3" fontId="12" fillId="18" borderId="6" xfId="0" applyNumberFormat="1" applyFont="1" applyFill="1" applyBorder="1"/>
    <xf numFmtId="4" fontId="25" fillId="0" borderId="4" xfId="0" applyNumberFormat="1" applyFont="1" applyFill="1" applyBorder="1" applyAlignment="1"/>
    <xf numFmtId="4" fontId="25" fillId="0" borderId="4" xfId="0" applyNumberFormat="1" applyFont="1" applyFill="1" applyBorder="1"/>
    <xf numFmtId="3" fontId="16" fillId="18" borderId="6" xfId="0" applyNumberFormat="1" applyFont="1" applyFill="1" applyBorder="1"/>
    <xf numFmtId="0" fontId="26" fillId="0" borderId="4" xfId="0" applyFont="1" applyBorder="1"/>
    <xf numFmtId="4" fontId="20" fillId="7" borderId="4" xfId="2" applyNumberFormat="1" applyFont="1" applyFill="1" applyBorder="1"/>
    <xf numFmtId="4" fontId="20" fillId="19" borderId="4" xfId="2" applyNumberFormat="1" applyFont="1" applyFill="1" applyBorder="1"/>
    <xf numFmtId="4" fontId="27" fillId="6" borderId="4" xfId="0" applyNumberFormat="1" applyFont="1" applyFill="1" applyBorder="1"/>
    <xf numFmtId="3" fontId="20" fillId="7" borderId="4" xfId="2" applyNumberFormat="1" applyFont="1" applyFill="1" applyBorder="1"/>
    <xf numFmtId="3" fontId="20" fillId="19" borderId="4" xfId="2" applyNumberFormat="1" applyFont="1" applyFill="1" applyBorder="1"/>
    <xf numFmtId="3" fontId="20" fillId="0" borderId="4" xfId="2" applyNumberFormat="1" applyFont="1" applyFill="1" applyBorder="1"/>
    <xf numFmtId="3" fontId="27" fillId="6" borderId="4" xfId="0" applyNumberFormat="1" applyFont="1" applyFill="1" applyBorder="1"/>
    <xf numFmtId="4" fontId="16" fillId="11" borderId="4" xfId="2" applyNumberFormat="1" applyFont="1" applyFill="1" applyBorder="1"/>
    <xf numFmtId="3" fontId="17" fillId="7" borderId="6" xfId="2" applyNumberFormat="1" applyFont="1" applyFill="1" applyBorder="1"/>
    <xf numFmtId="3" fontId="17" fillId="19" borderId="6" xfId="2" applyNumberFormat="1" applyFont="1" applyFill="1" applyBorder="1"/>
    <xf numFmtId="3" fontId="17" fillId="0" borderId="4" xfId="2" applyNumberFormat="1" applyFont="1" applyFill="1" applyBorder="1"/>
    <xf numFmtId="3" fontId="25" fillId="6" borderId="4" xfId="0" applyNumberFormat="1" applyFont="1" applyFill="1" applyBorder="1"/>
    <xf numFmtId="4" fontId="20" fillId="10" borderId="4" xfId="2" applyNumberFormat="1" applyFont="1" applyFill="1" applyBorder="1"/>
    <xf numFmtId="3" fontId="20" fillId="10" borderId="4" xfId="2" applyNumberFormat="1" applyFont="1" applyFill="1" applyBorder="1"/>
    <xf numFmtId="4" fontId="24" fillId="0" borderId="4" xfId="0" applyNumberFormat="1" applyFont="1" applyFill="1" applyBorder="1" applyAlignment="1"/>
    <xf numFmtId="4" fontId="24" fillId="0" borderId="4" xfId="0" applyNumberFormat="1" applyFont="1" applyFill="1" applyBorder="1"/>
    <xf numFmtId="0" fontId="1" fillId="0" borderId="4" xfId="0" applyFont="1" applyBorder="1"/>
    <xf numFmtId="0" fontId="24" fillId="0" borderId="4" xfId="0" applyFont="1" applyBorder="1"/>
    <xf numFmtId="3" fontId="28" fillId="6" borderId="4" xfId="0" applyNumberFormat="1" applyFont="1" applyFill="1" applyBorder="1"/>
    <xf numFmtId="0" fontId="21" fillId="0" borderId="4" xfId="0" applyFont="1" applyBorder="1"/>
    <xf numFmtId="4" fontId="16" fillId="8" borderId="4" xfId="2" applyNumberFormat="1" applyFont="1" applyFill="1" applyBorder="1"/>
    <xf numFmtId="4" fontId="21" fillId="6" borderId="4" xfId="0" applyNumberFormat="1" applyFont="1" applyFill="1" applyBorder="1"/>
    <xf numFmtId="3" fontId="21" fillId="6" borderId="4" xfId="0" applyNumberFormat="1" applyFont="1" applyFill="1" applyBorder="1"/>
    <xf numFmtId="4" fontId="1" fillId="6" borderId="4" xfId="0" applyNumberFormat="1" applyFont="1" applyFill="1" applyBorder="1"/>
    <xf numFmtId="4" fontId="7" fillId="11" borderId="7" xfId="2" applyNumberFormat="1" applyFont="1" applyFill="1" applyBorder="1"/>
    <xf numFmtId="4" fontId="13" fillId="8" borderId="7" xfId="0" applyNumberFormat="1" applyFont="1" applyFill="1" applyBorder="1"/>
    <xf numFmtId="4" fontId="7" fillId="0" borderId="7" xfId="1" applyNumberFormat="1" applyFont="1" applyFill="1" applyBorder="1"/>
    <xf numFmtId="4" fontId="16" fillId="6" borderId="7" xfId="2" applyNumberFormat="1" applyFont="1" applyFill="1" applyBorder="1"/>
    <xf numFmtId="4" fontId="7" fillId="0" borderId="7" xfId="2" applyNumberFormat="1" applyFont="1" applyFill="1" applyBorder="1"/>
    <xf numFmtId="0" fontId="1" fillId="0" borderId="0" xfId="0" applyFo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4" fontId="7" fillId="0" borderId="0" xfId="2" applyNumberFormat="1" applyFont="1" applyFill="1" applyBorder="1"/>
    <xf numFmtId="4" fontId="13" fillId="0" borderId="0" xfId="0" applyNumberFormat="1" applyFont="1" applyFill="1" applyBorder="1"/>
    <xf numFmtId="4" fontId="7" fillId="0" borderId="0" xfId="1" applyNumberFormat="1" applyFont="1" applyFill="1" applyBorder="1"/>
    <xf numFmtId="3" fontId="1" fillId="0" borderId="0" xfId="0" applyNumberFormat="1" applyFont="1" applyFill="1" applyBorder="1"/>
    <xf numFmtId="4" fontId="16" fillId="0" borderId="0" xfId="2" applyNumberFormat="1" applyFont="1" applyFill="1" applyBorder="1"/>
    <xf numFmtId="3" fontId="29" fillId="0" borderId="0" xfId="0" applyNumberFormat="1" applyFont="1" applyFill="1" applyBorder="1"/>
    <xf numFmtId="0" fontId="1" fillId="0" borderId="7" xfId="0" applyFont="1" applyBorder="1"/>
    <xf numFmtId="4" fontId="29" fillId="0" borderId="4" xfId="0" applyNumberFormat="1" applyFont="1" applyFill="1" applyBorder="1" applyAlignment="1"/>
    <xf numFmtId="4" fontId="29" fillId="0" borderId="4" xfId="0" applyNumberFormat="1" applyFont="1" applyFill="1" applyBorder="1"/>
    <xf numFmtId="4" fontId="13" fillId="7" borderId="4" xfId="0" applyNumberFormat="1" applyFont="1" applyFill="1" applyBorder="1"/>
    <xf numFmtId="4" fontId="1" fillId="19" borderId="4" xfId="0" applyNumberFormat="1" applyFont="1" applyFill="1" applyBorder="1"/>
    <xf numFmtId="4" fontId="1" fillId="0" borderId="4" xfId="0" applyNumberFormat="1" applyFont="1" applyBorder="1"/>
    <xf numFmtId="3" fontId="1" fillId="20" borderId="4" xfId="0" applyNumberFormat="1" applyFont="1" applyFill="1" applyBorder="1"/>
    <xf numFmtId="3" fontId="1" fillId="19" borderId="4" xfId="0" applyNumberFormat="1" applyFont="1" applyFill="1" applyBorder="1"/>
    <xf numFmtId="3" fontId="1" fillId="0" borderId="4" xfId="0" applyNumberFormat="1" applyFont="1" applyBorder="1"/>
    <xf numFmtId="3" fontId="1" fillId="6" borderId="4" xfId="0" applyNumberFormat="1" applyFont="1" applyFill="1" applyBorder="1"/>
    <xf numFmtId="0" fontId="30" fillId="0" borderId="4" xfId="0" applyFont="1" applyFill="1" applyBorder="1" applyAlignment="1"/>
    <xf numFmtId="0" fontId="30" fillId="0" borderId="4" xfId="0" applyFont="1" applyFill="1" applyBorder="1"/>
    <xf numFmtId="4" fontId="1" fillId="7" borderId="4" xfId="0" applyNumberFormat="1" applyFont="1" applyFill="1" applyBorder="1"/>
    <xf numFmtId="3" fontId="1" fillId="7" borderId="4" xfId="0" applyNumberFormat="1" applyFont="1" applyFill="1" applyBorder="1"/>
    <xf numFmtId="3" fontId="30" fillId="0" borderId="4" xfId="0" applyNumberFormat="1" applyFont="1" applyFill="1" applyBorder="1"/>
    <xf numFmtId="3" fontId="1" fillId="0" borderId="4" xfId="0" applyNumberFormat="1" applyFont="1" applyFill="1" applyBorder="1"/>
    <xf numFmtId="4" fontId="13" fillId="19" borderId="4" xfId="0" applyNumberFormat="1" applyFont="1" applyFill="1" applyBorder="1"/>
    <xf numFmtId="4" fontId="13" fillId="0" borderId="4" xfId="0" applyNumberFormat="1" applyFont="1" applyFill="1" applyBorder="1"/>
    <xf numFmtId="4" fontId="13" fillId="6" borderId="4" xfId="0" applyNumberFormat="1" applyFont="1" applyFill="1" applyBorder="1"/>
    <xf numFmtId="3" fontId="13" fillId="7" borderId="4" xfId="0" applyNumberFormat="1" applyFont="1" applyFill="1" applyBorder="1"/>
    <xf numFmtId="3" fontId="13" fillId="19" borderId="4" xfId="0" applyNumberFormat="1" applyFont="1" applyFill="1" applyBorder="1"/>
    <xf numFmtId="3" fontId="13" fillId="6" borderId="4" xfId="0" applyNumberFormat="1" applyFont="1" applyFill="1" applyBorder="1"/>
    <xf numFmtId="0" fontId="3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/>
    <xf numFmtId="1" fontId="1" fillId="0" borderId="0" xfId="0" applyNumberFormat="1" applyFont="1" applyBorder="1"/>
    <xf numFmtId="0" fontId="22" fillId="0" borderId="0" xfId="0" applyFont="1" applyBorder="1"/>
    <xf numFmtId="0" fontId="29" fillId="0" borderId="0" xfId="0" applyFont="1" applyFill="1" applyBorder="1"/>
    <xf numFmtId="0" fontId="13" fillId="0" borderId="4" xfId="1" applyFont="1" applyBorder="1"/>
    <xf numFmtId="0" fontId="14" fillId="0" borderId="4" xfId="1" applyFont="1" applyBorder="1"/>
    <xf numFmtId="4" fontId="14" fillId="20" borderId="4" xfId="2" applyNumberFormat="1" applyFont="1" applyFill="1" applyBorder="1"/>
    <xf numFmtId="4" fontId="14" fillId="21" borderId="4" xfId="2" applyNumberFormat="1" applyFont="1" applyFill="1" applyBorder="1"/>
    <xf numFmtId="4" fontId="14" fillId="0" borderId="4" xfId="2" applyNumberFormat="1" applyFont="1" applyFill="1" applyBorder="1"/>
    <xf numFmtId="4" fontId="14" fillId="22" borderId="4" xfId="2" applyNumberFormat="1" applyFont="1" applyFill="1" applyBorder="1"/>
    <xf numFmtId="3" fontId="14" fillId="20" borderId="4" xfId="2" applyNumberFormat="1" applyFont="1" applyFill="1" applyBorder="1"/>
    <xf numFmtId="3" fontId="14" fillId="21" borderId="4" xfId="2" applyNumberFormat="1" applyFont="1" applyFill="1" applyBorder="1"/>
    <xf numFmtId="3" fontId="14" fillId="0" borderId="4" xfId="2" applyNumberFormat="1" applyFont="1" applyFill="1" applyBorder="1"/>
    <xf numFmtId="3" fontId="14" fillId="22" borderId="4" xfId="2" applyNumberFormat="1" applyFont="1" applyFill="1" applyBorder="1"/>
    <xf numFmtId="4" fontId="13" fillId="20" borderId="4" xfId="0" applyNumberFormat="1" applyFont="1" applyFill="1" applyBorder="1"/>
    <xf numFmtId="4" fontId="13" fillId="21" borderId="4" xfId="0" applyNumberFormat="1" applyFont="1" applyFill="1" applyBorder="1"/>
    <xf numFmtId="4" fontId="13" fillId="22" borderId="4" xfId="0" applyNumberFormat="1" applyFont="1" applyFill="1" applyBorder="1"/>
    <xf numFmtId="4" fontId="13" fillId="0" borderId="4" xfId="2" applyNumberFormat="1" applyFont="1" applyFill="1" applyBorder="1"/>
    <xf numFmtId="3" fontId="13" fillId="20" borderId="4" xfId="0" applyNumberFormat="1" applyFont="1" applyFill="1" applyBorder="1"/>
    <xf numFmtId="3" fontId="13" fillId="21" borderId="4" xfId="0" applyNumberFormat="1" applyFont="1" applyFill="1" applyBorder="1"/>
    <xf numFmtId="3" fontId="13" fillId="22" borderId="4" xfId="0" applyNumberFormat="1" applyFont="1" applyFill="1" applyBorder="1"/>
    <xf numFmtId="3" fontId="13" fillId="0" borderId="4" xfId="2" applyNumberFormat="1" applyFont="1" applyFill="1" applyBorder="1"/>
    <xf numFmtId="3" fontId="14" fillId="0" borderId="4" xfId="2" applyNumberFormat="1" applyFont="1" applyBorder="1"/>
    <xf numFmtId="0" fontId="33" fillId="0" borderId="4" xfId="1" applyFont="1" applyFill="1" applyBorder="1"/>
    <xf numFmtId="4" fontId="33" fillId="20" borderId="4" xfId="2" applyNumberFormat="1" applyFont="1" applyFill="1" applyBorder="1"/>
    <xf numFmtId="4" fontId="33" fillId="21" borderId="4" xfId="2" applyNumberFormat="1" applyFont="1" applyFill="1" applyBorder="1"/>
    <xf numFmtId="4" fontId="33" fillId="22" borderId="4" xfId="2" applyNumberFormat="1" applyFont="1" applyFill="1" applyBorder="1"/>
    <xf numFmtId="3" fontId="33" fillId="20" borderId="4" xfId="2" applyNumberFormat="1" applyFont="1" applyFill="1" applyBorder="1"/>
    <xf numFmtId="3" fontId="33" fillId="21" borderId="4" xfId="2" applyNumberFormat="1" applyFont="1" applyFill="1" applyBorder="1"/>
    <xf numFmtId="3" fontId="33" fillId="22" borderId="4" xfId="2" applyNumberFormat="1" applyFont="1" applyFill="1" applyBorder="1"/>
    <xf numFmtId="4" fontId="14" fillId="20" borderId="4" xfId="1" applyNumberFormat="1" applyFont="1" applyFill="1" applyBorder="1"/>
    <xf numFmtId="4" fontId="14" fillId="21" borderId="4" xfId="1" applyNumberFormat="1" applyFont="1" applyFill="1" applyBorder="1"/>
    <xf numFmtId="4" fontId="14" fillId="22" borderId="4" xfId="1" applyNumberFormat="1" applyFont="1" applyFill="1" applyBorder="1"/>
    <xf numFmtId="3" fontId="14" fillId="20" borderId="4" xfId="1" applyNumberFormat="1" applyFont="1" applyFill="1" applyBorder="1"/>
    <xf numFmtId="3" fontId="14" fillId="21" borderId="4" xfId="1" applyNumberFormat="1" applyFont="1" applyFill="1" applyBorder="1"/>
    <xf numFmtId="3" fontId="14" fillId="22" borderId="4" xfId="1" applyNumberFormat="1" applyFont="1" applyFill="1" applyBorder="1"/>
    <xf numFmtId="4" fontId="13" fillId="0" borderId="4" xfId="0" applyNumberFormat="1" applyFont="1" applyBorder="1"/>
    <xf numFmtId="3" fontId="13" fillId="0" borderId="4" xfId="0" applyNumberFormat="1" applyFont="1" applyBorder="1"/>
    <xf numFmtId="4" fontId="34" fillId="0" borderId="4" xfId="2" applyNumberFormat="1" applyFont="1" applyFill="1" applyBorder="1"/>
    <xf numFmtId="4" fontId="14" fillId="0" borderId="4" xfId="1" applyNumberFormat="1" applyFont="1" applyFill="1" applyBorder="1"/>
    <xf numFmtId="3" fontId="14" fillId="0" borderId="4" xfId="1" applyNumberFormat="1" applyFont="1" applyFill="1" applyBorder="1"/>
    <xf numFmtId="4" fontId="13" fillId="20" borderId="4" xfId="1" applyNumberFormat="1" applyFont="1" applyFill="1" applyBorder="1"/>
    <xf numFmtId="4" fontId="13" fillId="21" borderId="4" xfId="1" applyNumberFormat="1" applyFont="1" applyFill="1" applyBorder="1"/>
    <xf numFmtId="4" fontId="13" fillId="22" borderId="4" xfId="1" applyNumberFormat="1" applyFont="1" applyFill="1" applyBorder="1"/>
    <xf numFmtId="3" fontId="13" fillId="20" borderId="4" xfId="1" applyNumberFormat="1" applyFont="1" applyFill="1" applyBorder="1"/>
    <xf numFmtId="3" fontId="13" fillId="21" borderId="4" xfId="1" applyNumberFormat="1" applyFont="1" applyFill="1" applyBorder="1"/>
    <xf numFmtId="3" fontId="13" fillId="22" borderId="4" xfId="1" applyNumberFormat="1" applyFont="1" applyFill="1" applyBorder="1"/>
    <xf numFmtId="0" fontId="14" fillId="0" borderId="4" xfId="1" applyFont="1" applyFill="1" applyBorder="1"/>
    <xf numFmtId="3" fontId="23" fillId="0" borderId="4" xfId="0" applyNumberFormat="1" applyFont="1" applyFill="1" applyBorder="1"/>
    <xf numFmtId="0" fontId="14" fillId="0" borderId="4" xfId="0" applyFont="1" applyBorder="1"/>
    <xf numFmtId="0" fontId="23" fillId="0" borderId="4" xfId="0" applyFont="1" applyFill="1" applyBorder="1"/>
    <xf numFmtId="4" fontId="23" fillId="21" borderId="4" xfId="0" applyNumberFormat="1" applyFont="1" applyFill="1" applyBorder="1"/>
    <xf numFmtId="4" fontId="23" fillId="22" borderId="4" xfId="0" applyNumberFormat="1" applyFont="1" applyFill="1" applyBorder="1"/>
    <xf numFmtId="3" fontId="23" fillId="21" borderId="4" xfId="0" applyNumberFormat="1" applyFont="1" applyFill="1" applyBorder="1"/>
    <xf numFmtId="3" fontId="23" fillId="22" borderId="4" xfId="0" applyNumberFormat="1" applyFont="1" applyFill="1" applyBorder="1"/>
    <xf numFmtId="0" fontId="14" fillId="0" borderId="4" xfId="0" applyFont="1" applyFill="1" applyBorder="1"/>
    <xf numFmtId="4" fontId="14" fillId="20" borderId="4" xfId="0" applyNumberFormat="1" applyFont="1" applyFill="1" applyBorder="1"/>
    <xf numFmtId="4" fontId="14" fillId="21" borderId="4" xfId="0" applyNumberFormat="1" applyFont="1" applyFill="1" applyBorder="1"/>
    <xf numFmtId="4" fontId="14" fillId="22" borderId="4" xfId="0" applyNumberFormat="1" applyFont="1" applyFill="1" applyBorder="1"/>
    <xf numFmtId="3" fontId="14" fillId="20" borderId="4" xfId="0" applyNumberFormat="1" applyFont="1" applyFill="1" applyBorder="1"/>
    <xf numFmtId="3" fontId="14" fillId="21" borderId="4" xfId="0" applyNumberFormat="1" applyFont="1" applyFill="1" applyBorder="1"/>
    <xf numFmtId="3" fontId="14" fillId="22" borderId="4" xfId="0" applyNumberFormat="1" applyFont="1" applyFill="1" applyBorder="1"/>
    <xf numFmtId="4" fontId="14" fillId="0" borderId="4" xfId="0" applyNumberFormat="1" applyFont="1" applyBorder="1"/>
    <xf numFmtId="3" fontId="14" fillId="0" borderId="4" xfId="0" applyNumberFormat="1" applyFont="1" applyBorder="1"/>
    <xf numFmtId="0" fontId="35" fillId="0" borderId="4" xfId="0" applyFont="1" applyBorder="1"/>
    <xf numFmtId="0" fontId="36" fillId="10" borderId="0" xfId="0" applyFont="1" applyFill="1" applyBorder="1"/>
    <xf numFmtId="0" fontId="37" fillId="10" borderId="0" xfId="0" applyFont="1" applyFill="1" applyBorder="1"/>
    <xf numFmtId="0" fontId="1" fillId="10" borderId="0" xfId="0" applyFont="1" applyFill="1"/>
    <xf numFmtId="0" fontId="1" fillId="10" borderId="0" xfId="0" applyFont="1" applyFill="1" applyBorder="1"/>
    <xf numFmtId="0" fontId="31" fillId="10" borderId="0" xfId="0" applyFont="1" applyFill="1" applyBorder="1"/>
    <xf numFmtId="0" fontId="30" fillId="0" borderId="0" xfId="0" applyFont="1" applyFill="1" applyBorder="1"/>
    <xf numFmtId="3" fontId="16" fillId="7" borderId="6" xfId="2" applyNumberFormat="1" applyFont="1" applyFill="1" applyBorder="1"/>
    <xf numFmtId="3" fontId="16" fillId="19" borderId="6" xfId="2" applyNumberFormat="1" applyFont="1" applyFill="1" applyBorder="1"/>
    <xf numFmtId="0" fontId="0" fillId="0" borderId="4" xfId="0" applyBorder="1"/>
    <xf numFmtId="3" fontId="1" fillId="10" borderId="4" xfId="0" applyNumberFormat="1" applyFont="1" applyFill="1" applyBorder="1"/>
    <xf numFmtId="3" fontId="1" fillId="23" borderId="4" xfId="0" applyNumberFormat="1" applyFont="1" applyFill="1" applyBorder="1"/>
    <xf numFmtId="3" fontId="1" fillId="22" borderId="4" xfId="0" applyNumberFormat="1" applyFont="1" applyFill="1" applyBorder="1"/>
    <xf numFmtId="4" fontId="1" fillId="10" borderId="4" xfId="0" applyNumberFormat="1" applyFont="1" applyFill="1" applyBorder="1"/>
    <xf numFmtId="4" fontId="38" fillId="0" borderId="0" xfId="0" applyNumberFormat="1" applyFont="1"/>
    <xf numFmtId="3" fontId="38" fillId="0" borderId="0" xfId="0" applyNumberFormat="1" applyFont="1"/>
    <xf numFmtId="4" fontId="1" fillId="0" borderId="3" xfId="0" applyNumberFormat="1" applyFont="1" applyFill="1" applyBorder="1"/>
    <xf numFmtId="0" fontId="30" fillId="0" borderId="3" xfId="0" applyFont="1" applyFill="1" applyBorder="1"/>
    <xf numFmtId="0" fontId="0" fillId="0" borderId="3" xfId="0" applyBorder="1"/>
    <xf numFmtId="0" fontId="13" fillId="0" borderId="10" xfId="0" applyFont="1" applyBorder="1"/>
    <xf numFmtId="0" fontId="4" fillId="0" borderId="11" xfId="0" applyFont="1" applyBorder="1"/>
    <xf numFmtId="4" fontId="5" fillId="0" borderId="11" xfId="0" applyNumberFormat="1" applyFont="1" applyFill="1" applyBorder="1"/>
    <xf numFmtId="0" fontId="39" fillId="0" borderId="11" xfId="0" applyFont="1" applyFill="1" applyBorder="1"/>
    <xf numFmtId="0" fontId="4" fillId="2" borderId="11" xfId="0" applyFont="1" applyFill="1" applyBorder="1"/>
    <xf numFmtId="0" fontId="40" fillId="2" borderId="11" xfId="0" applyFont="1" applyFill="1" applyBorder="1"/>
    <xf numFmtId="4" fontId="4" fillId="3" borderId="11" xfId="0" applyNumberFormat="1" applyFont="1" applyFill="1" applyBorder="1" applyAlignment="1">
      <alignment horizontal="left"/>
    </xf>
    <xf numFmtId="4" fontId="5" fillId="3" borderId="11" xfId="0" applyNumberFormat="1" applyFont="1" applyFill="1" applyBorder="1"/>
    <xf numFmtId="0" fontId="41" fillId="0" borderId="11" xfId="0" applyFont="1" applyBorder="1"/>
    <xf numFmtId="4" fontId="5" fillId="3" borderId="12" xfId="0" applyNumberFormat="1" applyFont="1" applyFill="1" applyBorder="1"/>
    <xf numFmtId="0" fontId="7" fillId="0" borderId="13" xfId="1" applyFont="1" applyBorder="1"/>
    <xf numFmtId="0" fontId="7" fillId="0" borderId="3" xfId="1" applyFont="1" applyBorder="1"/>
    <xf numFmtId="4" fontId="8" fillId="0" borderId="3" xfId="2" applyNumberFormat="1" applyFont="1" applyFill="1" applyBorder="1" applyAlignment="1"/>
    <xf numFmtId="4" fontId="8" fillId="0" borderId="3" xfId="2" applyNumberFormat="1" applyFont="1" applyFill="1" applyBorder="1"/>
    <xf numFmtId="4" fontId="8" fillId="7" borderId="3" xfId="2" applyNumberFormat="1" applyFont="1" applyFill="1" applyBorder="1"/>
    <xf numFmtId="4" fontId="8" fillId="8" borderId="3" xfId="2" applyNumberFormat="1" applyFont="1" applyFill="1" applyBorder="1"/>
    <xf numFmtId="4" fontId="8" fillId="6" borderId="3" xfId="2" applyNumberFormat="1" applyFont="1" applyFill="1" applyBorder="1"/>
    <xf numFmtId="3" fontId="8" fillId="7" borderId="3" xfId="2" applyNumberFormat="1" applyFont="1" applyFill="1" applyBorder="1"/>
    <xf numFmtId="3" fontId="8" fillId="8" borderId="3" xfId="2" applyNumberFormat="1" applyFont="1" applyFill="1" applyBorder="1"/>
    <xf numFmtId="3" fontId="8" fillId="0" borderId="3" xfId="2" applyNumberFormat="1" applyFont="1" applyFill="1" applyBorder="1"/>
    <xf numFmtId="3" fontId="8" fillId="6" borderId="3" xfId="2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1" xfId="0" applyFont="1" applyBorder="1" applyAlignment="1">
      <alignment wrapText="1"/>
    </xf>
    <xf numFmtId="4" fontId="1" fillId="4" borderId="11" xfId="0" applyNumberFormat="1" applyFont="1" applyFill="1" applyBorder="1" applyAlignment="1">
      <alignment wrapText="1"/>
    </xf>
    <xf numFmtId="4" fontId="1" fillId="5" borderId="11" xfId="0" applyNumberFormat="1" applyFont="1" applyFill="1" applyBorder="1" applyAlignment="1">
      <alignment wrapText="1"/>
    </xf>
    <xf numFmtId="4" fontId="1" fillId="0" borderId="11" xfId="0" applyNumberFormat="1" applyFont="1" applyFill="1" applyBorder="1" applyAlignment="1">
      <alignment wrapText="1"/>
    </xf>
    <xf numFmtId="4" fontId="5" fillId="6" borderId="11" xfId="0" applyNumberFormat="1" applyFont="1" applyFill="1" applyBorder="1"/>
    <xf numFmtId="4" fontId="1" fillId="0" borderId="12" xfId="0" applyNumberFormat="1" applyFont="1" applyFill="1" applyBorder="1" applyAlignment="1">
      <alignment wrapText="1"/>
    </xf>
    <xf numFmtId="0" fontId="13" fillId="0" borderId="3" xfId="1" applyFont="1" applyBorder="1"/>
    <xf numFmtId="4" fontId="23" fillId="20" borderId="3" xfId="2" applyNumberFormat="1" applyFont="1" applyFill="1" applyBorder="1"/>
    <xf numFmtId="4" fontId="23" fillId="21" borderId="3" xfId="2" applyNumberFormat="1" applyFont="1" applyFill="1" applyBorder="1"/>
    <xf numFmtId="4" fontId="23" fillId="0" borderId="3" xfId="2" applyNumberFormat="1" applyFont="1" applyFill="1" applyBorder="1"/>
    <xf numFmtId="4" fontId="23" fillId="22" borderId="3" xfId="2" applyNumberFormat="1" applyFont="1" applyFill="1" applyBorder="1"/>
    <xf numFmtId="4" fontId="23" fillId="0" borderId="3" xfId="2" applyNumberFormat="1" applyFont="1" applyBorder="1"/>
    <xf numFmtId="3" fontId="23" fillId="20" borderId="3" xfId="2" applyNumberFormat="1" applyFont="1" applyFill="1" applyBorder="1"/>
    <xf numFmtId="3" fontId="23" fillId="21" borderId="3" xfId="2" applyNumberFormat="1" applyFont="1" applyFill="1" applyBorder="1"/>
    <xf numFmtId="3" fontId="23" fillId="0" borderId="3" xfId="2" applyNumberFormat="1" applyFont="1" applyFill="1" applyBorder="1"/>
    <xf numFmtId="3" fontId="23" fillId="22" borderId="3" xfId="2" applyNumberFormat="1" applyFont="1" applyFill="1" applyBorder="1"/>
    <xf numFmtId="3" fontId="23" fillId="0" borderId="3" xfId="2" applyNumberFormat="1" applyFont="1" applyBorder="1"/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4" fontId="1" fillId="0" borderId="11" xfId="0" applyNumberFormat="1" applyFont="1" applyFill="1" applyBorder="1"/>
    <xf numFmtId="0" fontId="30" fillId="0" borderId="11" xfId="0" applyFont="1" applyFill="1" applyBorder="1"/>
    <xf numFmtId="4" fontId="13" fillId="4" borderId="11" xfId="0" applyNumberFormat="1" applyFont="1" applyFill="1" applyBorder="1" applyAlignment="1">
      <alignment wrapText="1"/>
    </xf>
    <xf numFmtId="4" fontId="13" fillId="5" borderId="11" xfId="0" applyNumberFormat="1" applyFont="1" applyFill="1" applyBorder="1" applyAlignment="1">
      <alignment wrapText="1"/>
    </xf>
    <xf numFmtId="4" fontId="13" fillId="0" borderId="11" xfId="0" applyNumberFormat="1" applyFont="1" applyFill="1" applyBorder="1" applyAlignment="1">
      <alignment wrapText="1"/>
    </xf>
    <xf numFmtId="4" fontId="13" fillId="6" borderId="11" xfId="0" applyNumberFormat="1" applyFont="1" applyFill="1" applyBorder="1"/>
    <xf numFmtId="0" fontId="0" fillId="0" borderId="11" xfId="0" applyBorder="1"/>
    <xf numFmtId="4" fontId="32" fillId="4" borderId="11" xfId="0" applyNumberFormat="1" applyFont="1" applyFill="1" applyBorder="1" applyAlignment="1">
      <alignment wrapText="1"/>
    </xf>
    <xf numFmtId="4" fontId="13" fillId="0" borderId="12" xfId="0" applyNumberFormat="1" applyFont="1" applyFill="1" applyBorder="1" applyAlignment="1">
      <alignment wrapText="1"/>
    </xf>
    <xf numFmtId="0" fontId="1" fillId="0" borderId="1" xfId="0" applyFont="1" applyBorder="1"/>
    <xf numFmtId="0" fontId="2" fillId="0" borderId="2" xfId="0" applyFont="1" applyBorder="1"/>
    <xf numFmtId="4" fontId="4" fillId="3" borderId="2" xfId="0" applyNumberFormat="1" applyFont="1" applyFill="1" applyBorder="1" applyAlignment="1">
      <alignment horizontal="left"/>
    </xf>
    <xf numFmtId="4" fontId="1" fillId="3" borderId="14" xfId="0" applyNumberFormat="1" applyFont="1" applyFill="1" applyBorder="1"/>
  </cellXfs>
  <cellStyles count="3">
    <cellStyle name="Navadno" xfId="0" builtinId="0"/>
    <cellStyle name="Navadno_BILANCA1" xfId="1"/>
    <cellStyle name="Navadno_BILANC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3"/>
  <sheetViews>
    <sheetView tabSelected="1" topLeftCell="A133" workbookViewId="0">
      <selection activeCell="B10" sqref="B10"/>
    </sheetView>
  </sheetViews>
  <sheetFormatPr defaultRowHeight="15" x14ac:dyDescent="0.25"/>
  <cols>
    <col min="1" max="1" width="6.28515625" style="169" customWidth="1"/>
    <col min="2" max="2" width="24.28515625" style="169" customWidth="1"/>
    <col min="3" max="3" width="2.85546875" customWidth="1"/>
    <col min="4" max="4" width="3" customWidth="1"/>
    <col min="5" max="5" width="11.42578125" customWidth="1"/>
    <col min="6" max="6" width="10" customWidth="1"/>
    <col min="7" max="7" width="10.140625" customWidth="1"/>
    <col min="9" max="9" width="9.7109375" customWidth="1"/>
    <col min="10" max="11" width="3.7109375" customWidth="1"/>
    <col min="12" max="12" width="8.7109375" customWidth="1"/>
    <col min="13" max="13" width="7.28515625" customWidth="1"/>
    <col min="14" max="14" width="8.5703125" customWidth="1"/>
    <col min="15" max="15" width="8.140625" customWidth="1"/>
    <col min="16" max="16" width="8.28515625" customWidth="1"/>
    <col min="17" max="17" width="3.7109375" customWidth="1"/>
    <col min="18" max="18" width="3.5703125" customWidth="1"/>
    <col min="19" max="19" width="9.28515625" customWidth="1"/>
    <col min="20" max="20" width="7.7109375" customWidth="1"/>
    <col min="22" max="22" width="7.7109375" customWidth="1"/>
  </cols>
  <sheetData>
    <row r="1" spans="1:24" ht="26.45" customHeight="1" thickBot="1" x14ac:dyDescent="0.3">
      <c r="A1" s="337"/>
      <c r="B1" s="338" t="s">
        <v>0</v>
      </c>
      <c r="C1" s="1"/>
      <c r="D1" s="2"/>
      <c r="E1" s="3" t="s">
        <v>1</v>
      </c>
      <c r="F1" s="2"/>
      <c r="G1" s="2"/>
      <c r="H1" s="339"/>
      <c r="I1" s="340"/>
      <c r="J1" s="1"/>
      <c r="K1" s="2"/>
      <c r="L1" s="3" t="s">
        <v>404</v>
      </c>
      <c r="M1" s="2"/>
      <c r="N1" s="2"/>
      <c r="O1" s="339"/>
      <c r="P1" s="340"/>
      <c r="Q1" s="1"/>
      <c r="R1" s="2"/>
      <c r="S1" s="3" t="s">
        <v>401</v>
      </c>
      <c r="T1" s="2"/>
      <c r="U1" s="2"/>
      <c r="V1" s="339"/>
      <c r="W1" s="340"/>
    </row>
    <row r="2" spans="1:24" ht="22.9" customHeight="1" thickBot="1" x14ac:dyDescent="0.3">
      <c r="A2" s="307"/>
      <c r="B2" s="308"/>
      <c r="C2" s="309" t="s">
        <v>2</v>
      </c>
      <c r="D2" s="309" t="s">
        <v>3</v>
      </c>
      <c r="E2" s="310" t="s">
        <v>2</v>
      </c>
      <c r="F2" s="311" t="s">
        <v>3</v>
      </c>
      <c r="G2" s="312" t="s">
        <v>4</v>
      </c>
      <c r="H2" s="313" t="s">
        <v>5</v>
      </c>
      <c r="I2" s="312" t="s">
        <v>6</v>
      </c>
      <c r="J2" s="309" t="s">
        <v>2</v>
      </c>
      <c r="K2" s="309" t="s">
        <v>3</v>
      </c>
      <c r="L2" s="310" t="s">
        <v>2</v>
      </c>
      <c r="M2" s="311" t="s">
        <v>3</v>
      </c>
      <c r="N2" s="312" t="s">
        <v>4</v>
      </c>
      <c r="O2" s="313" t="s">
        <v>5</v>
      </c>
      <c r="P2" s="312" t="s">
        <v>6</v>
      </c>
      <c r="Q2" s="309" t="s">
        <v>2</v>
      </c>
      <c r="R2" s="309" t="s">
        <v>3</v>
      </c>
      <c r="S2" s="310" t="s">
        <v>2</v>
      </c>
      <c r="T2" s="311" t="s">
        <v>3</v>
      </c>
      <c r="U2" s="312" t="s">
        <v>4</v>
      </c>
      <c r="V2" s="313" t="s">
        <v>5</v>
      </c>
      <c r="W2" s="314" t="s">
        <v>6</v>
      </c>
    </row>
    <row r="3" spans="1:24" x14ac:dyDescent="0.25">
      <c r="A3" s="296" t="s">
        <v>7</v>
      </c>
      <c r="B3" s="297" t="s">
        <v>8</v>
      </c>
      <c r="C3" s="298"/>
      <c r="D3" s="299"/>
      <c r="E3" s="300">
        <f>E4+E26+E79+E82+E94+E99+E104+E107</f>
        <v>1577547.8099999998</v>
      </c>
      <c r="F3" s="301">
        <f>F4+F26+F79+F82+F94+F99+F104+F107</f>
        <v>588673.81000000006</v>
      </c>
      <c r="G3" s="299">
        <f>G4+G26+G79+G82+G94+G99+G104+G107</f>
        <v>2166221.6200000006</v>
      </c>
      <c r="H3" s="302">
        <f>H4+H26+H79+H82+H94+H99+H104+H107</f>
        <v>61281.06</v>
      </c>
      <c r="I3" s="299">
        <f t="shared" ref="I3:I4" si="0">G3+H3</f>
        <v>2227502.6800000006</v>
      </c>
      <c r="J3" s="298"/>
      <c r="K3" s="299"/>
      <c r="L3" s="303">
        <f>L4+L26+L79+L82+L94+L99+L104+L107</f>
        <v>1511771.385</v>
      </c>
      <c r="M3" s="304">
        <f>M4+M26+M79+M82+M94+M99+M104+M107</f>
        <v>600527.12621999998</v>
      </c>
      <c r="N3" s="305">
        <f>N4+N26+N79+N82+N94+N99+N104+N107</f>
        <v>2112298.5112200002</v>
      </c>
      <c r="O3" s="306">
        <f>O4+O26+O79+O82+O94+O99+O104+O107</f>
        <v>60567.040000000001</v>
      </c>
      <c r="P3" s="305">
        <f t="shared" ref="P3:P53" si="1">N3+O3</f>
        <v>2172865.5512200003</v>
      </c>
      <c r="Q3" s="298"/>
      <c r="R3" s="299"/>
      <c r="S3" s="303">
        <f>S4+S26+S79+S82+S94+S99+S104+S107</f>
        <v>1521362.7299999997</v>
      </c>
      <c r="T3" s="304">
        <f>T4+T26+T79+T82+T94+T99+T104+T107</f>
        <v>554911.37</v>
      </c>
      <c r="U3" s="305">
        <f>U4+U26+U79+U82+U94+U99+U104+U107</f>
        <v>2076274.0999999999</v>
      </c>
      <c r="V3" s="306">
        <f>V4+V26+V79+V82+V94+V99+V104+V107</f>
        <v>54174.3</v>
      </c>
      <c r="W3" s="305">
        <f t="shared" ref="W3:W16" si="2">U3+V3</f>
        <v>2130448.4</v>
      </c>
      <c r="X3" s="281">
        <f>(X4+X26+X79)/12/161</f>
        <v>34.46849896480331</v>
      </c>
    </row>
    <row r="4" spans="1:24" x14ac:dyDescent="0.25">
      <c r="A4" s="9" t="s">
        <v>9</v>
      </c>
      <c r="B4" s="10" t="s">
        <v>10</v>
      </c>
      <c r="C4" s="11"/>
      <c r="D4" s="12"/>
      <c r="E4" s="13">
        <f>SUM(E5:E25)</f>
        <v>163908.64000000001</v>
      </c>
      <c r="F4" s="14">
        <f>SUM(F5:F25)</f>
        <v>96907.82</v>
      </c>
      <c r="G4" s="15">
        <f>SUM(G5:G25)</f>
        <v>260816.46000000002</v>
      </c>
      <c r="H4" s="16">
        <f>SUM(H5:H25)</f>
        <v>20528.72</v>
      </c>
      <c r="I4" s="17">
        <f t="shared" si="0"/>
        <v>281345.18000000005</v>
      </c>
      <c r="J4" s="18"/>
      <c r="K4" s="19"/>
      <c r="L4" s="20">
        <f>SUM(L5:L25)</f>
        <v>162717.51</v>
      </c>
      <c r="M4" s="21">
        <f>SUM(M5:M25)</f>
        <v>102077.99</v>
      </c>
      <c r="N4" s="22">
        <f>SUM(N5:N25)</f>
        <v>264795.49999999994</v>
      </c>
      <c r="O4" s="23">
        <f>SUM(O5:O25)</f>
        <v>23960</v>
      </c>
      <c r="P4" s="24">
        <f t="shared" si="1"/>
        <v>288755.49999999994</v>
      </c>
      <c r="Q4" s="18"/>
      <c r="R4" s="19"/>
      <c r="S4" s="20">
        <f>SUM(S5:S25)</f>
        <v>146683.75</v>
      </c>
      <c r="T4" s="21">
        <f>SUM(T5:T25)</f>
        <v>90038.209999999992</v>
      </c>
      <c r="U4" s="25">
        <f>SUM(U5:U25)</f>
        <v>236721.96</v>
      </c>
      <c r="V4" s="23">
        <f>SUM(V5:V25)</f>
        <v>16973.800000000003</v>
      </c>
      <c r="W4" s="24">
        <f t="shared" si="2"/>
        <v>253695.76</v>
      </c>
      <c r="X4" s="282">
        <f>T4-T8</f>
        <v>30652.789999999994</v>
      </c>
    </row>
    <row r="5" spans="1:24" x14ac:dyDescent="0.25">
      <c r="A5" s="5" t="s">
        <v>11</v>
      </c>
      <c r="B5" s="6" t="s">
        <v>12</v>
      </c>
      <c r="C5" s="27">
        <v>0.71</v>
      </c>
      <c r="D5" s="27">
        <v>0.28999999999999998</v>
      </c>
      <c r="E5" s="28">
        <v>5829.27</v>
      </c>
      <c r="F5" s="29">
        <v>3216.19</v>
      </c>
      <c r="G5" s="30">
        <f>SUM(E5:F5)</f>
        <v>9045.4600000000009</v>
      </c>
      <c r="H5" s="31">
        <v>0</v>
      </c>
      <c r="I5" s="27">
        <f>SUM(G5:H5)</f>
        <v>9045.4600000000009</v>
      </c>
      <c r="J5" s="27">
        <v>0.71</v>
      </c>
      <c r="K5" s="27">
        <v>0.28999999999999998</v>
      </c>
      <c r="L5" s="32">
        <f>N5*J5</f>
        <v>6390</v>
      </c>
      <c r="M5" s="33">
        <f>N5*K5</f>
        <v>2610</v>
      </c>
      <c r="N5" s="34">
        <v>9000</v>
      </c>
      <c r="O5" s="35">
        <v>800</v>
      </c>
      <c r="P5" s="36">
        <f t="shared" si="1"/>
        <v>9800</v>
      </c>
      <c r="Q5" s="27">
        <v>0.71</v>
      </c>
      <c r="R5" s="27">
        <v>0.28999999999999998</v>
      </c>
      <c r="S5" s="32">
        <v>5282.79</v>
      </c>
      <c r="T5" s="33">
        <v>2164.17</v>
      </c>
      <c r="U5" s="34">
        <f>S5+T5</f>
        <v>7446.96</v>
      </c>
      <c r="V5" s="35">
        <v>0</v>
      </c>
      <c r="W5" s="36">
        <f t="shared" si="2"/>
        <v>7446.96</v>
      </c>
    </row>
    <row r="6" spans="1:24" x14ac:dyDescent="0.25">
      <c r="A6" s="5" t="s">
        <v>13</v>
      </c>
      <c r="B6" s="6" t="s">
        <v>14</v>
      </c>
      <c r="C6" s="27" t="s">
        <v>15</v>
      </c>
      <c r="D6" s="27" t="s">
        <v>15</v>
      </c>
      <c r="E6" s="28">
        <v>2998.3</v>
      </c>
      <c r="F6" s="29">
        <v>1947.44</v>
      </c>
      <c r="G6" s="30">
        <f t="shared" ref="G6:G25" si="3">SUM(E6:F6)</f>
        <v>4945.74</v>
      </c>
      <c r="H6" s="31">
        <v>783.53</v>
      </c>
      <c r="I6" s="27">
        <f t="shared" ref="I6:I25" si="4">SUM(G6:H6)</f>
        <v>5729.2699999999995</v>
      </c>
      <c r="J6" s="27" t="s">
        <v>15</v>
      </c>
      <c r="K6" s="27" t="s">
        <v>15</v>
      </c>
      <c r="L6" s="32">
        <v>6000</v>
      </c>
      <c r="M6" s="33">
        <v>2100</v>
      </c>
      <c r="N6" s="34">
        <f>L6+M6</f>
        <v>8100</v>
      </c>
      <c r="O6" s="35">
        <v>3000</v>
      </c>
      <c r="P6" s="36">
        <f t="shared" si="1"/>
        <v>11100</v>
      </c>
      <c r="Q6" s="27" t="s">
        <v>15</v>
      </c>
      <c r="R6" s="27" t="s">
        <v>15</v>
      </c>
      <c r="S6" s="32">
        <v>2782.28</v>
      </c>
      <c r="T6" s="33">
        <v>1725.07</v>
      </c>
      <c r="U6" s="34">
        <f t="shared" ref="U6:U25" si="5">S6+T6</f>
        <v>4507.3500000000004</v>
      </c>
      <c r="V6" s="35">
        <v>821.17</v>
      </c>
      <c r="W6" s="36">
        <f t="shared" si="2"/>
        <v>5328.52</v>
      </c>
    </row>
    <row r="7" spans="1:24" x14ac:dyDescent="0.25">
      <c r="A7" s="5" t="s">
        <v>16</v>
      </c>
      <c r="B7" s="6" t="s">
        <v>17</v>
      </c>
      <c r="C7" s="27">
        <v>0.69</v>
      </c>
      <c r="D7" s="27">
        <v>0.31</v>
      </c>
      <c r="E7" s="28">
        <v>2061.56</v>
      </c>
      <c r="F7" s="29">
        <v>305.2</v>
      </c>
      <c r="G7" s="30">
        <f t="shared" si="3"/>
        <v>2366.7599999999998</v>
      </c>
      <c r="H7" s="31">
        <v>0</v>
      </c>
      <c r="I7" s="27">
        <f t="shared" si="4"/>
        <v>2366.7599999999998</v>
      </c>
      <c r="J7" s="27">
        <v>0.69</v>
      </c>
      <c r="K7" s="27">
        <v>0.31</v>
      </c>
      <c r="L7" s="32">
        <f>N7*J7</f>
        <v>2161.77</v>
      </c>
      <c r="M7" s="33">
        <f>N7*K7</f>
        <v>971.23</v>
      </c>
      <c r="N7" s="34">
        <v>3133</v>
      </c>
      <c r="O7" s="35">
        <v>0</v>
      </c>
      <c r="P7" s="36">
        <f t="shared" si="1"/>
        <v>3133</v>
      </c>
      <c r="Q7" s="27">
        <v>0.69</v>
      </c>
      <c r="R7" s="27">
        <v>0.31</v>
      </c>
      <c r="S7" s="32">
        <v>1657.27</v>
      </c>
      <c r="T7" s="33">
        <v>239.46</v>
      </c>
      <c r="U7" s="34">
        <f t="shared" si="5"/>
        <v>1896.73</v>
      </c>
      <c r="V7" s="35">
        <v>0</v>
      </c>
      <c r="W7" s="36">
        <f t="shared" si="2"/>
        <v>1896.73</v>
      </c>
    </row>
    <row r="8" spans="1:24" x14ac:dyDescent="0.25">
      <c r="A8" s="5" t="s">
        <v>18</v>
      </c>
      <c r="B8" s="37" t="s">
        <v>19</v>
      </c>
      <c r="C8" s="27" t="s">
        <v>15</v>
      </c>
      <c r="D8" s="27" t="s">
        <v>15</v>
      </c>
      <c r="E8" s="28">
        <v>97556.74</v>
      </c>
      <c r="F8" s="29">
        <v>65397.86</v>
      </c>
      <c r="G8" s="30">
        <f t="shared" si="3"/>
        <v>162954.6</v>
      </c>
      <c r="H8" s="31">
        <v>0</v>
      </c>
      <c r="I8" s="27">
        <f t="shared" si="4"/>
        <v>162954.6</v>
      </c>
      <c r="J8" s="27" t="s">
        <v>15</v>
      </c>
      <c r="K8" s="27" t="s">
        <v>15</v>
      </c>
      <c r="L8" s="32">
        <v>83000</v>
      </c>
      <c r="M8" s="33">
        <v>68115.600000000006</v>
      </c>
      <c r="N8" s="34">
        <f>L8+M8</f>
        <v>151115.6</v>
      </c>
      <c r="O8" s="35">
        <v>0</v>
      </c>
      <c r="P8" s="36">
        <f t="shared" si="1"/>
        <v>151115.6</v>
      </c>
      <c r="Q8" s="27" t="s">
        <v>15</v>
      </c>
      <c r="R8" s="27" t="s">
        <v>15</v>
      </c>
      <c r="S8" s="32">
        <v>94780.05</v>
      </c>
      <c r="T8" s="33">
        <v>59385.42</v>
      </c>
      <c r="U8" s="34">
        <f t="shared" si="5"/>
        <v>154165.47</v>
      </c>
      <c r="V8" s="35">
        <v>0</v>
      </c>
      <c r="W8" s="36">
        <f t="shared" si="2"/>
        <v>154165.47</v>
      </c>
    </row>
    <row r="9" spans="1:24" ht="14.45" x14ac:dyDescent="0.3">
      <c r="A9" s="5" t="s">
        <v>20</v>
      </c>
      <c r="B9" s="6" t="s">
        <v>21</v>
      </c>
      <c r="C9" s="27" t="s">
        <v>15</v>
      </c>
      <c r="D9" s="27" t="s">
        <v>15</v>
      </c>
      <c r="E9" s="28">
        <v>5000.54</v>
      </c>
      <c r="F9" s="29">
        <v>3497.92</v>
      </c>
      <c r="G9" s="30">
        <f t="shared" si="3"/>
        <v>8498.4599999999991</v>
      </c>
      <c r="H9" s="31">
        <v>1798.44</v>
      </c>
      <c r="I9" s="27">
        <f t="shared" si="4"/>
        <v>10296.9</v>
      </c>
      <c r="J9" s="27" t="s">
        <v>15</v>
      </c>
      <c r="K9" s="27" t="s">
        <v>15</v>
      </c>
      <c r="L9" s="32">
        <v>6000</v>
      </c>
      <c r="M9" s="33">
        <v>3400</v>
      </c>
      <c r="N9" s="34">
        <f>L9+M9</f>
        <v>9400</v>
      </c>
      <c r="O9" s="35">
        <v>2000</v>
      </c>
      <c r="P9" s="36">
        <f t="shared" si="1"/>
        <v>11400</v>
      </c>
      <c r="Q9" s="27" t="s">
        <v>15</v>
      </c>
      <c r="R9" s="27" t="s">
        <v>15</v>
      </c>
      <c r="S9" s="32">
        <v>4034.85</v>
      </c>
      <c r="T9" s="33">
        <v>3601.27</v>
      </c>
      <c r="U9" s="34">
        <f t="shared" si="5"/>
        <v>7636.12</v>
      </c>
      <c r="V9" s="35">
        <v>1490.39</v>
      </c>
      <c r="W9" s="36">
        <f t="shared" si="2"/>
        <v>9126.51</v>
      </c>
    </row>
    <row r="10" spans="1:24" x14ac:dyDescent="0.25">
      <c r="A10" s="5" t="s">
        <v>22</v>
      </c>
      <c r="B10" s="6" t="s">
        <v>23</v>
      </c>
      <c r="C10" s="27" t="s">
        <v>15</v>
      </c>
      <c r="D10" s="27" t="s">
        <v>15</v>
      </c>
      <c r="E10" s="28">
        <v>655.79</v>
      </c>
      <c r="F10" s="29">
        <v>0</v>
      </c>
      <c r="G10" s="30">
        <f t="shared" si="3"/>
        <v>655.79</v>
      </c>
      <c r="H10" s="31">
        <v>0</v>
      </c>
      <c r="I10" s="27">
        <f t="shared" si="4"/>
        <v>655.79</v>
      </c>
      <c r="J10" s="27" t="s">
        <v>15</v>
      </c>
      <c r="K10" s="27" t="s">
        <v>15</v>
      </c>
      <c r="L10" s="32">
        <v>1104.1199999999999</v>
      </c>
      <c r="M10" s="33">
        <v>0</v>
      </c>
      <c r="N10" s="34">
        <f>L10+M10</f>
        <v>1104.1199999999999</v>
      </c>
      <c r="O10" s="35">
        <v>0</v>
      </c>
      <c r="P10" s="36">
        <f t="shared" si="1"/>
        <v>1104.1199999999999</v>
      </c>
      <c r="Q10" s="27" t="s">
        <v>15</v>
      </c>
      <c r="R10" s="27" t="s">
        <v>15</v>
      </c>
      <c r="S10" s="32">
        <v>14.9</v>
      </c>
      <c r="T10" s="33">
        <v>0</v>
      </c>
      <c r="U10" s="34">
        <f t="shared" si="5"/>
        <v>14.9</v>
      </c>
      <c r="V10" s="35">
        <v>0</v>
      </c>
      <c r="W10" s="36">
        <f t="shared" si="2"/>
        <v>14.9</v>
      </c>
    </row>
    <row r="11" spans="1:24" x14ac:dyDescent="0.25">
      <c r="A11" s="5" t="s">
        <v>24</v>
      </c>
      <c r="B11" s="6" t="s">
        <v>25</v>
      </c>
      <c r="C11" s="27">
        <v>0.83</v>
      </c>
      <c r="D11" s="27">
        <v>0.17</v>
      </c>
      <c r="E11" s="28">
        <v>2567.71</v>
      </c>
      <c r="F11" s="29">
        <v>1531.91</v>
      </c>
      <c r="G11" s="30">
        <f t="shared" si="3"/>
        <v>4099.62</v>
      </c>
      <c r="H11" s="31">
        <v>508.72</v>
      </c>
      <c r="I11" s="27">
        <f t="shared" si="4"/>
        <v>4608.34</v>
      </c>
      <c r="J11" s="27">
        <v>0.83</v>
      </c>
      <c r="K11" s="27">
        <v>0.17</v>
      </c>
      <c r="L11" s="32">
        <v>3857.97</v>
      </c>
      <c r="M11" s="33">
        <v>1000</v>
      </c>
      <c r="N11" s="34">
        <f>L11+M11</f>
        <v>4857.9699999999993</v>
      </c>
      <c r="O11" s="35">
        <v>1750</v>
      </c>
      <c r="P11" s="36">
        <f t="shared" si="1"/>
        <v>6607.9699999999993</v>
      </c>
      <c r="Q11" s="27" t="s">
        <v>26</v>
      </c>
      <c r="R11" s="27" t="s">
        <v>15</v>
      </c>
      <c r="S11" s="32">
        <v>2012.76</v>
      </c>
      <c r="T11" s="33">
        <v>1816.82</v>
      </c>
      <c r="U11" s="34">
        <f t="shared" si="5"/>
        <v>3829.58</v>
      </c>
      <c r="V11" s="35">
        <v>861.7</v>
      </c>
      <c r="W11" s="36">
        <f t="shared" si="2"/>
        <v>4691.28</v>
      </c>
    </row>
    <row r="12" spans="1:24" x14ac:dyDescent="0.25">
      <c r="A12" s="5" t="s">
        <v>27</v>
      </c>
      <c r="B12" s="6" t="s">
        <v>28</v>
      </c>
      <c r="C12" s="27">
        <v>0.69</v>
      </c>
      <c r="D12" s="27">
        <v>0.31</v>
      </c>
      <c r="E12" s="28">
        <v>562.15</v>
      </c>
      <c r="F12" s="29">
        <v>214.66</v>
      </c>
      <c r="G12" s="30">
        <f t="shared" si="3"/>
        <v>776.81</v>
      </c>
      <c r="H12" s="31">
        <v>0</v>
      </c>
      <c r="I12" s="27">
        <f t="shared" si="4"/>
        <v>776.81</v>
      </c>
      <c r="J12" s="27">
        <v>0.69</v>
      </c>
      <c r="K12" s="27">
        <v>0.31</v>
      </c>
      <c r="L12" s="32">
        <f>N12*J12</f>
        <v>1288.9199999999998</v>
      </c>
      <c r="M12" s="33">
        <f>N12*K12</f>
        <v>579.08000000000004</v>
      </c>
      <c r="N12" s="34">
        <v>1868</v>
      </c>
      <c r="O12" s="35">
        <v>0</v>
      </c>
      <c r="P12" s="36">
        <f t="shared" si="1"/>
        <v>1868</v>
      </c>
      <c r="Q12" s="27">
        <v>0.69</v>
      </c>
      <c r="R12" s="27">
        <v>0.31</v>
      </c>
      <c r="S12" s="32">
        <v>685.01</v>
      </c>
      <c r="T12" s="33">
        <v>423.62</v>
      </c>
      <c r="U12" s="34">
        <f t="shared" si="5"/>
        <v>1108.6300000000001</v>
      </c>
      <c r="V12" s="35">
        <v>0</v>
      </c>
      <c r="W12" s="36">
        <f t="shared" si="2"/>
        <v>1108.6300000000001</v>
      </c>
    </row>
    <row r="13" spans="1:24" x14ac:dyDescent="0.25">
      <c r="A13" s="5" t="s">
        <v>29</v>
      </c>
      <c r="B13" s="6" t="s">
        <v>30</v>
      </c>
      <c r="C13" s="27" t="s">
        <v>15</v>
      </c>
      <c r="D13" s="27" t="s">
        <v>15</v>
      </c>
      <c r="E13" s="28">
        <f>1452.02+150</f>
        <v>1602.02</v>
      </c>
      <c r="F13" s="29">
        <v>1221.73</v>
      </c>
      <c r="G13" s="30">
        <f t="shared" si="3"/>
        <v>2823.75</v>
      </c>
      <c r="H13" s="31">
        <v>213.78</v>
      </c>
      <c r="I13" s="27">
        <f t="shared" si="4"/>
        <v>3037.53</v>
      </c>
      <c r="J13" s="27" t="s">
        <v>15</v>
      </c>
      <c r="K13" s="27" t="s">
        <v>15</v>
      </c>
      <c r="L13" s="38">
        <v>1940</v>
      </c>
      <c r="M13" s="33">
        <v>1720</v>
      </c>
      <c r="N13" s="34">
        <f>L13+M13</f>
        <v>3660</v>
      </c>
      <c r="O13" s="35">
        <v>210</v>
      </c>
      <c r="P13" s="36">
        <f t="shared" si="1"/>
        <v>3870</v>
      </c>
      <c r="Q13" s="27" t="s">
        <v>15</v>
      </c>
      <c r="R13" s="27" t="s">
        <v>15</v>
      </c>
      <c r="S13" s="38">
        <f>1832.32+40.74+94.98</f>
        <v>1968.04</v>
      </c>
      <c r="T13" s="33">
        <v>2096.77</v>
      </c>
      <c r="U13" s="34">
        <f t="shared" si="5"/>
        <v>4064.81</v>
      </c>
      <c r="V13" s="35">
        <v>187.8</v>
      </c>
      <c r="W13" s="36">
        <f t="shared" si="2"/>
        <v>4252.6099999999997</v>
      </c>
    </row>
    <row r="14" spans="1:24" x14ac:dyDescent="0.25">
      <c r="A14" s="39" t="s">
        <v>31</v>
      </c>
      <c r="B14" s="6" t="s">
        <v>32</v>
      </c>
      <c r="C14" s="27"/>
      <c r="D14" s="27"/>
      <c r="E14" s="28">
        <v>0</v>
      </c>
      <c r="F14" s="29">
        <v>0</v>
      </c>
      <c r="G14" s="30">
        <f t="shared" si="3"/>
        <v>0</v>
      </c>
      <c r="H14" s="31">
        <v>0</v>
      </c>
      <c r="I14" s="27">
        <f t="shared" si="4"/>
        <v>0</v>
      </c>
      <c r="J14" s="27"/>
      <c r="K14" s="27"/>
      <c r="L14" s="38"/>
      <c r="M14" s="33"/>
      <c r="N14" s="34"/>
      <c r="O14" s="35"/>
      <c r="P14" s="36"/>
      <c r="Q14" s="27"/>
      <c r="R14" s="27"/>
      <c r="S14" s="38">
        <v>0</v>
      </c>
      <c r="T14" s="33">
        <v>0</v>
      </c>
      <c r="U14" s="34">
        <f t="shared" si="5"/>
        <v>0</v>
      </c>
      <c r="V14" s="35">
        <v>0</v>
      </c>
      <c r="W14" s="36">
        <f t="shared" si="2"/>
        <v>0</v>
      </c>
    </row>
    <row r="15" spans="1:24" ht="14.45" x14ac:dyDescent="0.3">
      <c r="A15" s="5" t="s">
        <v>33</v>
      </c>
      <c r="B15" s="6" t="s">
        <v>34</v>
      </c>
      <c r="C15" s="27" t="s">
        <v>15</v>
      </c>
      <c r="D15" s="27" t="s">
        <v>15</v>
      </c>
      <c r="E15" s="28">
        <v>190.3</v>
      </c>
      <c r="F15" s="29">
        <v>3652.02</v>
      </c>
      <c r="G15" s="30">
        <f t="shared" si="3"/>
        <v>3842.32</v>
      </c>
      <c r="H15" s="31">
        <v>0</v>
      </c>
      <c r="I15" s="27">
        <f t="shared" si="4"/>
        <v>3842.32</v>
      </c>
      <c r="J15" s="27" t="s">
        <v>15</v>
      </c>
      <c r="K15" s="27" t="s">
        <v>15</v>
      </c>
      <c r="L15" s="40">
        <v>150</v>
      </c>
      <c r="M15" s="33">
        <v>5114</v>
      </c>
      <c r="N15" s="34">
        <f>L15+M15</f>
        <v>5264</v>
      </c>
      <c r="O15" s="35">
        <v>200</v>
      </c>
      <c r="P15" s="36">
        <f t="shared" si="1"/>
        <v>5464</v>
      </c>
      <c r="Q15" s="27" t="s">
        <v>15</v>
      </c>
      <c r="R15" s="27" t="s">
        <v>15</v>
      </c>
      <c r="S15" s="40">
        <v>76.930000000000007</v>
      </c>
      <c r="T15" s="33">
        <v>3027.73</v>
      </c>
      <c r="U15" s="34">
        <f t="shared" si="5"/>
        <v>3104.66</v>
      </c>
      <c r="V15" s="35">
        <v>0</v>
      </c>
      <c r="W15" s="36">
        <f t="shared" ref="W15" si="6">U15+V15</f>
        <v>3104.66</v>
      </c>
    </row>
    <row r="16" spans="1:24" ht="14.45" x14ac:dyDescent="0.3">
      <c r="A16" s="39" t="s">
        <v>35</v>
      </c>
      <c r="B16" s="6" t="s">
        <v>36</v>
      </c>
      <c r="C16" s="27"/>
      <c r="D16" s="27"/>
      <c r="E16" s="28">
        <v>0</v>
      </c>
      <c r="F16" s="29">
        <v>0</v>
      </c>
      <c r="G16" s="30">
        <f t="shared" si="3"/>
        <v>0</v>
      </c>
      <c r="H16" s="31">
        <v>0</v>
      </c>
      <c r="I16" s="27">
        <f t="shared" si="4"/>
        <v>0</v>
      </c>
      <c r="J16" s="27"/>
      <c r="K16" s="27"/>
      <c r="L16" s="40"/>
      <c r="M16" s="33"/>
      <c r="N16" s="34"/>
      <c r="O16" s="35"/>
      <c r="P16" s="36"/>
      <c r="Q16" s="27"/>
      <c r="R16" s="27"/>
      <c r="S16" s="40">
        <v>0</v>
      </c>
      <c r="T16" s="33">
        <v>0</v>
      </c>
      <c r="U16" s="34">
        <f t="shared" si="5"/>
        <v>0</v>
      </c>
      <c r="V16" s="35">
        <v>0</v>
      </c>
      <c r="W16" s="36">
        <f t="shared" si="2"/>
        <v>0</v>
      </c>
    </row>
    <row r="17" spans="1:24" x14ac:dyDescent="0.25">
      <c r="A17" s="5" t="s">
        <v>37</v>
      </c>
      <c r="B17" s="6" t="s">
        <v>38</v>
      </c>
      <c r="C17" s="27">
        <v>0.69</v>
      </c>
      <c r="D17" s="27">
        <v>0.31</v>
      </c>
      <c r="E17" s="28">
        <v>13.13</v>
      </c>
      <c r="F17" s="29">
        <v>3.12</v>
      </c>
      <c r="G17" s="30">
        <f t="shared" si="3"/>
        <v>16.25</v>
      </c>
      <c r="H17" s="31">
        <v>0</v>
      </c>
      <c r="I17" s="27">
        <f t="shared" si="4"/>
        <v>16.25</v>
      </c>
      <c r="J17" s="27">
        <v>0.69</v>
      </c>
      <c r="K17" s="27">
        <v>0.31</v>
      </c>
      <c r="L17" s="32">
        <f>N17*J17</f>
        <v>69</v>
      </c>
      <c r="M17" s="33">
        <f>N17*K17</f>
        <v>31</v>
      </c>
      <c r="N17" s="34">
        <v>100</v>
      </c>
      <c r="O17" s="35">
        <v>0</v>
      </c>
      <c r="P17" s="36">
        <f t="shared" si="1"/>
        <v>100</v>
      </c>
      <c r="Q17" s="27">
        <v>0.69</v>
      </c>
      <c r="R17" s="27">
        <v>0.31</v>
      </c>
      <c r="S17" s="32">
        <v>0</v>
      </c>
      <c r="T17" s="33">
        <v>0</v>
      </c>
      <c r="U17" s="34">
        <f t="shared" si="5"/>
        <v>0</v>
      </c>
      <c r="V17" s="35">
        <v>0</v>
      </c>
      <c r="W17" s="36">
        <f t="shared" ref="W17:W54" si="7">U17+V17</f>
        <v>0</v>
      </c>
    </row>
    <row r="18" spans="1:24" x14ac:dyDescent="0.25">
      <c r="A18" s="39" t="s">
        <v>39</v>
      </c>
      <c r="B18" s="6" t="s">
        <v>40</v>
      </c>
      <c r="C18" s="27" t="s">
        <v>15</v>
      </c>
      <c r="D18" s="27" t="s">
        <v>15</v>
      </c>
      <c r="E18" s="28">
        <v>0</v>
      </c>
      <c r="F18" s="29">
        <v>821.42</v>
      </c>
      <c r="G18" s="30">
        <f t="shared" si="3"/>
        <v>821.42</v>
      </c>
      <c r="H18" s="31">
        <v>0</v>
      </c>
      <c r="I18" s="27">
        <f t="shared" si="4"/>
        <v>821.42</v>
      </c>
      <c r="J18" s="27" t="s">
        <v>15</v>
      </c>
      <c r="K18" s="27" t="s">
        <v>15</v>
      </c>
      <c r="L18" s="38">
        <v>0</v>
      </c>
      <c r="M18" s="33">
        <v>765.8</v>
      </c>
      <c r="N18" s="34">
        <f>L18+M18</f>
        <v>765.8</v>
      </c>
      <c r="O18" s="35">
        <v>0</v>
      </c>
      <c r="P18" s="36">
        <f t="shared" si="1"/>
        <v>765.8</v>
      </c>
      <c r="Q18" s="27" t="s">
        <v>15</v>
      </c>
      <c r="R18" s="27" t="s">
        <v>15</v>
      </c>
      <c r="S18" s="38">
        <v>0</v>
      </c>
      <c r="T18" s="33">
        <v>1038.8499999999999</v>
      </c>
      <c r="U18" s="34">
        <f t="shared" si="5"/>
        <v>1038.8499999999999</v>
      </c>
      <c r="V18" s="35">
        <v>0</v>
      </c>
      <c r="W18" s="36">
        <f t="shared" si="7"/>
        <v>1038.8499999999999</v>
      </c>
    </row>
    <row r="19" spans="1:24" ht="14.45" x14ac:dyDescent="0.3">
      <c r="A19" s="5" t="s">
        <v>41</v>
      </c>
      <c r="B19" s="6" t="s">
        <v>42</v>
      </c>
      <c r="C19" s="27" t="s">
        <v>15</v>
      </c>
      <c r="D19" s="27" t="s">
        <v>15</v>
      </c>
      <c r="E19" s="28">
        <v>10061.43</v>
      </c>
      <c r="F19" s="29">
        <v>3181.69</v>
      </c>
      <c r="G19" s="30">
        <f t="shared" si="3"/>
        <v>13243.12</v>
      </c>
      <c r="H19" s="31">
        <v>0</v>
      </c>
      <c r="I19" s="27">
        <f t="shared" si="4"/>
        <v>13243.12</v>
      </c>
      <c r="J19" s="27" t="s">
        <v>15</v>
      </c>
      <c r="K19" s="27" t="s">
        <v>15</v>
      </c>
      <c r="L19" s="38">
        <v>12800</v>
      </c>
      <c r="M19" s="33">
        <v>3500</v>
      </c>
      <c r="N19" s="34">
        <f>L19+M19</f>
        <v>16300</v>
      </c>
      <c r="O19" s="35">
        <v>0</v>
      </c>
      <c r="P19" s="36">
        <f t="shared" si="1"/>
        <v>16300</v>
      </c>
      <c r="Q19" s="27" t="s">
        <v>15</v>
      </c>
      <c r="R19" s="27" t="s">
        <v>15</v>
      </c>
      <c r="S19" s="38">
        <v>6581.34</v>
      </c>
      <c r="T19" s="33">
        <v>3008.15</v>
      </c>
      <c r="U19" s="34">
        <f t="shared" si="5"/>
        <v>9589.49</v>
      </c>
      <c r="V19" s="35">
        <v>0</v>
      </c>
      <c r="W19" s="36">
        <f t="shared" si="7"/>
        <v>9589.49</v>
      </c>
    </row>
    <row r="20" spans="1:24" x14ac:dyDescent="0.25">
      <c r="A20" s="5" t="s">
        <v>43</v>
      </c>
      <c r="B20" s="6" t="s">
        <v>44</v>
      </c>
      <c r="C20" s="27">
        <v>0.65</v>
      </c>
      <c r="D20" s="27">
        <v>0.35</v>
      </c>
      <c r="E20" s="28">
        <v>9151.1200000000008</v>
      </c>
      <c r="F20" s="29">
        <v>4927.5200000000004</v>
      </c>
      <c r="G20" s="30">
        <f t="shared" si="3"/>
        <v>14078.640000000001</v>
      </c>
      <c r="H20" s="31">
        <v>10201.65</v>
      </c>
      <c r="I20" s="27">
        <f t="shared" si="4"/>
        <v>24280.29</v>
      </c>
      <c r="J20" s="27">
        <v>0.65</v>
      </c>
      <c r="K20" s="27">
        <v>0.35</v>
      </c>
      <c r="L20" s="32">
        <f>N20*J20</f>
        <v>8840</v>
      </c>
      <c r="M20" s="33">
        <f>N20*K20</f>
        <v>4760</v>
      </c>
      <c r="N20" s="34">
        <v>13600</v>
      </c>
      <c r="O20" s="35">
        <v>10000</v>
      </c>
      <c r="P20" s="36">
        <f t="shared" si="1"/>
        <v>23600</v>
      </c>
      <c r="Q20" s="27">
        <v>0.65</v>
      </c>
      <c r="R20" s="27">
        <v>0.35</v>
      </c>
      <c r="S20" s="32">
        <v>8980.2999999999993</v>
      </c>
      <c r="T20" s="33">
        <v>4835.5200000000004</v>
      </c>
      <c r="U20" s="34">
        <f t="shared" si="5"/>
        <v>13815.82</v>
      </c>
      <c r="V20" s="35">
        <v>7241.56</v>
      </c>
      <c r="W20" s="36">
        <f t="shared" si="7"/>
        <v>21057.38</v>
      </c>
    </row>
    <row r="21" spans="1:24" ht="14.45" x14ac:dyDescent="0.3">
      <c r="A21" s="5" t="s">
        <v>45</v>
      </c>
      <c r="B21" s="6" t="s">
        <v>46</v>
      </c>
      <c r="C21" s="27" t="s">
        <v>15</v>
      </c>
      <c r="D21" s="27" t="s">
        <v>15</v>
      </c>
      <c r="E21" s="28">
        <v>22835.66</v>
      </c>
      <c r="F21" s="29">
        <v>5420.09</v>
      </c>
      <c r="G21" s="30">
        <f t="shared" si="3"/>
        <v>28255.75</v>
      </c>
      <c r="H21" s="31">
        <v>7022.6</v>
      </c>
      <c r="I21" s="27">
        <f t="shared" si="4"/>
        <v>35278.35</v>
      </c>
      <c r="J21" s="27" t="s">
        <v>15</v>
      </c>
      <c r="K21" s="27" t="s">
        <v>15</v>
      </c>
      <c r="L21" s="32">
        <v>25878</v>
      </c>
      <c r="M21" s="33">
        <v>5600</v>
      </c>
      <c r="N21" s="34">
        <f>L21+M21</f>
        <v>31478</v>
      </c>
      <c r="O21" s="35">
        <v>6000</v>
      </c>
      <c r="P21" s="36">
        <f t="shared" si="1"/>
        <v>37478</v>
      </c>
      <c r="Q21" s="27" t="s">
        <v>15</v>
      </c>
      <c r="R21" s="27" t="s">
        <v>15</v>
      </c>
      <c r="S21" s="32">
        <v>15182.53</v>
      </c>
      <c r="T21" s="33">
        <v>5094.0600000000004</v>
      </c>
      <c r="U21" s="34">
        <f t="shared" si="5"/>
        <v>20276.59</v>
      </c>
      <c r="V21" s="35">
        <v>6371.18</v>
      </c>
      <c r="W21" s="36">
        <f t="shared" si="7"/>
        <v>26647.77</v>
      </c>
    </row>
    <row r="22" spans="1:24" ht="14.45" x14ac:dyDescent="0.3">
      <c r="A22" s="5" t="s">
        <v>47</v>
      </c>
      <c r="B22" s="6" t="s">
        <v>48</v>
      </c>
      <c r="C22" s="27">
        <v>0.61</v>
      </c>
      <c r="D22" s="27">
        <v>0.39</v>
      </c>
      <c r="E22" s="28">
        <v>1582.64</v>
      </c>
      <c r="F22" s="29">
        <v>1011.84</v>
      </c>
      <c r="G22" s="30">
        <f t="shared" si="3"/>
        <v>2594.48</v>
      </c>
      <c r="H22" s="31">
        <v>0</v>
      </c>
      <c r="I22" s="27">
        <f t="shared" si="4"/>
        <v>2594.48</v>
      </c>
      <c r="J22" s="27">
        <v>0.61</v>
      </c>
      <c r="K22" s="27">
        <v>0.39</v>
      </c>
      <c r="L22" s="32">
        <f>N22*J22</f>
        <v>2135</v>
      </c>
      <c r="M22" s="33">
        <f>N22*K22</f>
        <v>1365</v>
      </c>
      <c r="N22" s="34">
        <v>3500</v>
      </c>
      <c r="O22" s="35">
        <v>0</v>
      </c>
      <c r="P22" s="36">
        <f t="shared" si="1"/>
        <v>3500</v>
      </c>
      <c r="Q22" s="27">
        <v>0.61</v>
      </c>
      <c r="R22" s="27">
        <v>0.39</v>
      </c>
      <c r="S22" s="32">
        <v>1597.35</v>
      </c>
      <c r="T22" s="33">
        <v>1110.76</v>
      </c>
      <c r="U22" s="34">
        <f t="shared" si="5"/>
        <v>2708.1099999999997</v>
      </c>
      <c r="V22" s="35">
        <v>0</v>
      </c>
      <c r="W22" s="36">
        <f t="shared" si="7"/>
        <v>2708.1099999999997</v>
      </c>
    </row>
    <row r="23" spans="1:24" ht="14.45" x14ac:dyDescent="0.3">
      <c r="A23" s="5" t="s">
        <v>49</v>
      </c>
      <c r="B23" s="6" t="s">
        <v>50</v>
      </c>
      <c r="C23" s="27">
        <v>0.69</v>
      </c>
      <c r="D23" s="27">
        <v>0.31</v>
      </c>
      <c r="E23" s="28">
        <v>1240.28</v>
      </c>
      <c r="F23" s="29">
        <v>557.21</v>
      </c>
      <c r="G23" s="30">
        <f t="shared" si="3"/>
        <v>1797.49</v>
      </c>
      <c r="H23" s="31">
        <v>0</v>
      </c>
      <c r="I23" s="27">
        <f t="shared" si="4"/>
        <v>1797.49</v>
      </c>
      <c r="J23" s="27">
        <v>0.69</v>
      </c>
      <c r="K23" s="27">
        <v>0.31</v>
      </c>
      <c r="L23" s="32">
        <v>1088.9100000000001</v>
      </c>
      <c r="M23" s="33">
        <v>440.69</v>
      </c>
      <c r="N23" s="34">
        <f>L23+M23</f>
        <v>1529.6000000000001</v>
      </c>
      <c r="O23" s="35">
        <v>0</v>
      </c>
      <c r="P23" s="36">
        <f t="shared" si="1"/>
        <v>1529.6000000000001</v>
      </c>
      <c r="Q23" s="27">
        <v>0.69</v>
      </c>
      <c r="R23" s="27">
        <v>0.31</v>
      </c>
      <c r="S23" s="32">
        <v>1047.3499999999999</v>
      </c>
      <c r="T23" s="33">
        <v>470.54</v>
      </c>
      <c r="U23" s="34">
        <f t="shared" si="5"/>
        <v>1517.8899999999999</v>
      </c>
      <c r="V23" s="35">
        <v>0</v>
      </c>
      <c r="W23" s="36">
        <f t="shared" si="7"/>
        <v>1517.8899999999999</v>
      </c>
    </row>
    <row r="24" spans="1:24" ht="14.45" x14ac:dyDescent="0.3">
      <c r="A24" s="5" t="s">
        <v>51</v>
      </c>
      <c r="B24" s="6" t="s">
        <v>52</v>
      </c>
      <c r="C24" s="27">
        <v>0.69</v>
      </c>
      <c r="D24" s="27">
        <v>0.31</v>
      </c>
      <c r="E24" s="28">
        <v>0</v>
      </c>
      <c r="F24" s="29">
        <v>0</v>
      </c>
      <c r="G24" s="30">
        <f t="shared" si="3"/>
        <v>0</v>
      </c>
      <c r="H24" s="31">
        <v>0</v>
      </c>
      <c r="I24" s="27">
        <f t="shared" si="4"/>
        <v>0</v>
      </c>
      <c r="J24" s="27">
        <v>0.69</v>
      </c>
      <c r="K24" s="27">
        <v>0.31</v>
      </c>
      <c r="L24" s="32">
        <v>13.82</v>
      </c>
      <c r="M24" s="33">
        <v>5.59</v>
      </c>
      <c r="N24" s="34">
        <f>L24+M24</f>
        <v>19.41</v>
      </c>
      <c r="O24" s="35">
        <v>0</v>
      </c>
      <c r="P24" s="36">
        <f t="shared" si="1"/>
        <v>19.41</v>
      </c>
      <c r="Q24" s="27">
        <v>0.69</v>
      </c>
      <c r="R24" s="27">
        <v>0.31</v>
      </c>
      <c r="S24" s="32">
        <v>0</v>
      </c>
      <c r="T24" s="33">
        <v>0</v>
      </c>
      <c r="U24" s="34">
        <f t="shared" si="5"/>
        <v>0</v>
      </c>
      <c r="V24" s="35">
        <v>0</v>
      </c>
      <c r="W24" s="36">
        <f t="shared" si="7"/>
        <v>0</v>
      </c>
    </row>
    <row r="25" spans="1:24" x14ac:dyDescent="0.25">
      <c r="A25" s="5" t="s">
        <v>53</v>
      </c>
      <c r="B25" s="6" t="s">
        <v>54</v>
      </c>
      <c r="C25" s="27">
        <v>0.69</v>
      </c>
      <c r="D25" s="27">
        <v>0.31</v>
      </c>
      <c r="E25" s="28">
        <v>0</v>
      </c>
      <c r="F25" s="29">
        <v>0</v>
      </c>
      <c r="G25" s="30">
        <f t="shared" si="3"/>
        <v>0</v>
      </c>
      <c r="H25" s="31">
        <v>0</v>
      </c>
      <c r="I25" s="27">
        <f t="shared" si="4"/>
        <v>0</v>
      </c>
      <c r="J25" s="27">
        <v>0.69</v>
      </c>
      <c r="K25" s="27">
        <v>0.31</v>
      </c>
      <c r="L25" s="32">
        <v>0</v>
      </c>
      <c r="M25" s="33">
        <v>0</v>
      </c>
      <c r="N25" s="34">
        <f>L25+M25</f>
        <v>0</v>
      </c>
      <c r="O25" s="35">
        <v>0</v>
      </c>
      <c r="P25" s="36">
        <f t="shared" si="1"/>
        <v>0</v>
      </c>
      <c r="Q25" s="27">
        <v>0.69</v>
      </c>
      <c r="R25" s="27">
        <v>0.31</v>
      </c>
      <c r="S25" s="32">
        <v>0</v>
      </c>
      <c r="T25" s="33">
        <v>0</v>
      </c>
      <c r="U25" s="34">
        <f t="shared" si="5"/>
        <v>0</v>
      </c>
      <c r="V25" s="35">
        <v>0</v>
      </c>
      <c r="W25" s="36">
        <f t="shared" si="7"/>
        <v>0</v>
      </c>
    </row>
    <row r="26" spans="1:24" x14ac:dyDescent="0.25">
      <c r="A26" s="9" t="s">
        <v>55</v>
      </c>
      <c r="B26" s="10" t="s">
        <v>56</v>
      </c>
      <c r="C26" s="11"/>
      <c r="D26" s="12"/>
      <c r="E26" s="41">
        <f>SUM(E27:E78)</f>
        <v>148462.76000000004</v>
      </c>
      <c r="F26" s="42">
        <f>SUM(F27:F78)</f>
        <v>38821.219999999994</v>
      </c>
      <c r="G26" s="43">
        <f>SUM(G27:G78)</f>
        <v>187283.98</v>
      </c>
      <c r="H26" s="44">
        <f>SUM(H27:H78)</f>
        <v>13475.089999999998</v>
      </c>
      <c r="I26" s="45">
        <f t="shared" ref="I26" si="8">G26+H26</f>
        <v>200759.07</v>
      </c>
      <c r="J26" s="11"/>
      <c r="K26" s="12"/>
      <c r="L26" s="20">
        <f>SUM(L27:L77)</f>
        <v>140990.65000000002</v>
      </c>
      <c r="M26" s="21">
        <f>SUM(M27:M78)</f>
        <v>35378.579999999994</v>
      </c>
      <c r="N26" s="22">
        <f>SUM(N27:N77)</f>
        <v>176369.22999999998</v>
      </c>
      <c r="O26" s="23">
        <f>SUM(O27:O77)</f>
        <v>9900</v>
      </c>
      <c r="P26" s="24">
        <f t="shared" si="1"/>
        <v>186269.22999999998</v>
      </c>
      <c r="Q26" s="18"/>
      <c r="R26" s="19"/>
      <c r="S26" s="20">
        <f>SUM(S27:S78)</f>
        <v>144647.34</v>
      </c>
      <c r="T26" s="21">
        <f>SUM(T27:T78)</f>
        <v>43339.32</v>
      </c>
      <c r="U26" s="22">
        <f>SUM(U27:U78)</f>
        <v>187986.66</v>
      </c>
      <c r="V26" s="23">
        <f>SUM(V27:V77)</f>
        <v>11136.05</v>
      </c>
      <c r="W26" s="24">
        <f t="shared" si="7"/>
        <v>199122.71</v>
      </c>
      <c r="X26" s="282">
        <f>T26-T31-T36-T52-T71</f>
        <v>29551.239999999998</v>
      </c>
    </row>
    <row r="27" spans="1:24" x14ac:dyDescent="0.25">
      <c r="A27" s="5" t="s">
        <v>57</v>
      </c>
      <c r="B27" s="6" t="s">
        <v>58</v>
      </c>
      <c r="C27" s="27">
        <v>0.69</v>
      </c>
      <c r="D27" s="27">
        <v>0.31</v>
      </c>
      <c r="E27" s="28">
        <v>223.01</v>
      </c>
      <c r="F27" s="29">
        <v>10</v>
      </c>
      <c r="G27" s="30">
        <f t="shared" ref="G27:G72" si="9">SUM(E27:F27)</f>
        <v>233.01</v>
      </c>
      <c r="H27" s="31">
        <v>0</v>
      </c>
      <c r="I27" s="27">
        <f t="shared" ref="I27" si="10">SUM(G27:H27)</f>
        <v>233.01</v>
      </c>
      <c r="J27" s="27">
        <v>0.69</v>
      </c>
      <c r="K27" s="27">
        <v>0.31</v>
      </c>
      <c r="L27" s="38">
        <f>N27*J27</f>
        <v>1148.8499999999999</v>
      </c>
      <c r="M27" s="33">
        <f>N27*K27</f>
        <v>516.15</v>
      </c>
      <c r="N27" s="34">
        <v>1665</v>
      </c>
      <c r="O27" s="35">
        <v>1500</v>
      </c>
      <c r="P27" s="36">
        <f t="shared" si="1"/>
        <v>3165</v>
      </c>
      <c r="Q27" s="27">
        <v>0.69</v>
      </c>
      <c r="R27" s="27">
        <v>0.31</v>
      </c>
      <c r="S27" s="38">
        <v>126.33</v>
      </c>
      <c r="T27" s="33">
        <v>0</v>
      </c>
      <c r="U27" s="34">
        <f>S27+T27</f>
        <v>126.33</v>
      </c>
      <c r="V27" s="35">
        <v>0</v>
      </c>
      <c r="W27" s="36">
        <f t="shared" si="7"/>
        <v>126.33</v>
      </c>
    </row>
    <row r="28" spans="1:24" x14ac:dyDescent="0.25">
      <c r="A28" s="5" t="s">
        <v>59</v>
      </c>
      <c r="B28" s="6" t="s">
        <v>60</v>
      </c>
      <c r="C28" s="27">
        <v>0.71</v>
      </c>
      <c r="D28" s="27">
        <v>0.28999999999999998</v>
      </c>
      <c r="E28" s="28">
        <v>4910.03</v>
      </c>
      <c r="F28" s="29">
        <v>453.33</v>
      </c>
      <c r="G28" s="30">
        <f t="shared" si="9"/>
        <v>5363.36</v>
      </c>
      <c r="H28" s="31">
        <v>0</v>
      </c>
      <c r="I28" s="27">
        <f t="shared" ref="I28:I53" si="11">G28+H28</f>
        <v>5363.36</v>
      </c>
      <c r="J28" s="27">
        <v>0.71</v>
      </c>
      <c r="K28" s="27">
        <v>0.28999999999999998</v>
      </c>
      <c r="L28" s="38">
        <f>N28*J28</f>
        <v>839.21999999999991</v>
      </c>
      <c r="M28" s="33">
        <f>N28*K28</f>
        <v>342.78</v>
      </c>
      <c r="N28" s="34">
        <v>1182</v>
      </c>
      <c r="O28" s="35">
        <v>0</v>
      </c>
      <c r="P28" s="36">
        <f t="shared" si="1"/>
        <v>1182</v>
      </c>
      <c r="Q28" s="27">
        <v>0.71</v>
      </c>
      <c r="R28" s="27">
        <v>0.28999999999999998</v>
      </c>
      <c r="S28" s="38">
        <v>0</v>
      </c>
      <c r="T28" s="33">
        <v>0</v>
      </c>
      <c r="U28" s="34">
        <f t="shared" ref="U28:U78" si="12">S28+T28</f>
        <v>0</v>
      </c>
      <c r="V28" s="35">
        <v>0</v>
      </c>
      <c r="W28" s="36">
        <f t="shared" si="7"/>
        <v>0</v>
      </c>
    </row>
    <row r="29" spans="1:24" x14ac:dyDescent="0.25">
      <c r="A29" s="39" t="s">
        <v>61</v>
      </c>
      <c r="B29" s="6" t="s">
        <v>62</v>
      </c>
      <c r="C29" s="27">
        <v>0.69</v>
      </c>
      <c r="D29" s="27">
        <v>0.31</v>
      </c>
      <c r="E29" s="28">
        <v>437.76</v>
      </c>
      <c r="F29" s="29">
        <v>16.96</v>
      </c>
      <c r="G29" s="30">
        <f t="shared" si="9"/>
        <v>454.71999999999997</v>
      </c>
      <c r="H29" s="31">
        <v>0</v>
      </c>
      <c r="I29" s="27">
        <f t="shared" si="11"/>
        <v>454.71999999999997</v>
      </c>
      <c r="J29" s="27">
        <v>0.69</v>
      </c>
      <c r="K29" s="27">
        <v>0.31</v>
      </c>
      <c r="L29" s="38">
        <v>0</v>
      </c>
      <c r="M29" s="33">
        <v>0</v>
      </c>
      <c r="N29" s="34">
        <f>L29+M29</f>
        <v>0</v>
      </c>
      <c r="O29" s="35">
        <v>0</v>
      </c>
      <c r="P29" s="36">
        <f t="shared" si="1"/>
        <v>0</v>
      </c>
      <c r="Q29" s="27">
        <v>0.69</v>
      </c>
      <c r="R29" s="27">
        <v>0.31</v>
      </c>
      <c r="S29" s="38">
        <v>0</v>
      </c>
      <c r="T29" s="33">
        <v>0</v>
      </c>
      <c r="U29" s="34">
        <f t="shared" si="12"/>
        <v>0</v>
      </c>
      <c r="V29" s="35">
        <v>0</v>
      </c>
      <c r="W29" s="36">
        <f t="shared" si="7"/>
        <v>0</v>
      </c>
    </row>
    <row r="30" spans="1:24" x14ac:dyDescent="0.25">
      <c r="A30" s="5" t="s">
        <v>63</v>
      </c>
      <c r="B30" s="6" t="s">
        <v>64</v>
      </c>
      <c r="C30" s="27">
        <v>0.69</v>
      </c>
      <c r="D30" s="27">
        <v>0.31</v>
      </c>
      <c r="E30" s="28">
        <v>1685.4</v>
      </c>
      <c r="F30" s="29">
        <v>757.14</v>
      </c>
      <c r="G30" s="30">
        <f t="shared" si="9"/>
        <v>2442.54</v>
      </c>
      <c r="H30" s="31">
        <v>0</v>
      </c>
      <c r="I30" s="27">
        <f t="shared" si="11"/>
        <v>2442.54</v>
      </c>
      <c r="J30" s="27">
        <v>0.69</v>
      </c>
      <c r="K30" s="27">
        <v>0.31</v>
      </c>
      <c r="L30" s="38">
        <f>N30*J30</f>
        <v>1676.6999999999998</v>
      </c>
      <c r="M30" s="33">
        <f>N30*K30</f>
        <v>753.3</v>
      </c>
      <c r="N30" s="34">
        <v>2430</v>
      </c>
      <c r="O30" s="35">
        <v>0</v>
      </c>
      <c r="P30" s="36">
        <f t="shared" si="1"/>
        <v>2430</v>
      </c>
      <c r="Q30" s="27">
        <v>0.69</v>
      </c>
      <c r="R30" s="27">
        <v>0.31</v>
      </c>
      <c r="S30" s="38">
        <v>1803.02</v>
      </c>
      <c r="T30" s="33">
        <v>810.04</v>
      </c>
      <c r="U30" s="34">
        <f t="shared" si="12"/>
        <v>2613.06</v>
      </c>
      <c r="V30" s="35">
        <v>0</v>
      </c>
      <c r="W30" s="36">
        <f t="shared" si="7"/>
        <v>2613.06</v>
      </c>
    </row>
    <row r="31" spans="1:24" ht="14.45" x14ac:dyDescent="0.3">
      <c r="A31" s="5" t="s">
        <v>65</v>
      </c>
      <c r="B31" s="46" t="s">
        <v>66</v>
      </c>
      <c r="C31" s="27" t="s">
        <v>15</v>
      </c>
      <c r="D31" s="27" t="s">
        <v>15</v>
      </c>
      <c r="E31" s="28">
        <f>13671.95+763.83</f>
        <v>14435.78</v>
      </c>
      <c r="F31" s="29">
        <v>524</v>
      </c>
      <c r="G31" s="30">
        <f t="shared" si="9"/>
        <v>14959.78</v>
      </c>
      <c r="H31" s="31">
        <v>0</v>
      </c>
      <c r="I31" s="27">
        <f t="shared" si="11"/>
        <v>14959.78</v>
      </c>
      <c r="J31" s="27" t="s">
        <v>15</v>
      </c>
      <c r="K31" s="27" t="s">
        <v>15</v>
      </c>
      <c r="L31" s="38">
        <v>9611.84</v>
      </c>
      <c r="M31" s="33">
        <v>277.93</v>
      </c>
      <c r="N31" s="34">
        <f t="shared" ref="N31:N44" si="13">L31+M31</f>
        <v>9889.77</v>
      </c>
      <c r="O31" s="35">
        <v>0</v>
      </c>
      <c r="P31" s="36">
        <f t="shared" si="1"/>
        <v>9889.77</v>
      </c>
      <c r="Q31" s="27" t="s">
        <v>15</v>
      </c>
      <c r="R31" s="27" t="s">
        <v>15</v>
      </c>
      <c r="S31" s="38">
        <f>15463.28+103.92</f>
        <v>15567.2</v>
      </c>
      <c r="T31" s="33">
        <v>306.60000000000002</v>
      </c>
      <c r="U31" s="34">
        <f t="shared" si="12"/>
        <v>15873.800000000001</v>
      </c>
      <c r="V31" s="35">
        <v>0</v>
      </c>
      <c r="W31" s="36">
        <f t="shared" si="7"/>
        <v>15873.800000000001</v>
      </c>
    </row>
    <row r="32" spans="1:24" x14ac:dyDescent="0.25">
      <c r="A32" s="5" t="s">
        <v>67</v>
      </c>
      <c r="B32" s="46" t="s">
        <v>68</v>
      </c>
      <c r="C32" s="27" t="s">
        <v>15</v>
      </c>
      <c r="D32" s="27" t="s">
        <v>15</v>
      </c>
      <c r="E32" s="28">
        <v>15020.65</v>
      </c>
      <c r="F32" s="29">
        <v>0</v>
      </c>
      <c r="G32" s="30">
        <f t="shared" si="9"/>
        <v>15020.65</v>
      </c>
      <c r="H32" s="31">
        <v>0</v>
      </c>
      <c r="I32" s="27">
        <f t="shared" si="11"/>
        <v>15020.65</v>
      </c>
      <c r="J32" s="27" t="s">
        <v>15</v>
      </c>
      <c r="K32" s="27" t="s">
        <v>15</v>
      </c>
      <c r="L32" s="38">
        <v>13046.43</v>
      </c>
      <c r="M32" s="47">
        <v>0</v>
      </c>
      <c r="N32" s="34">
        <f t="shared" si="13"/>
        <v>13046.43</v>
      </c>
      <c r="O32" s="35">
        <v>0</v>
      </c>
      <c r="P32" s="36">
        <f t="shared" si="1"/>
        <v>13046.43</v>
      </c>
      <c r="Q32" s="27" t="s">
        <v>15</v>
      </c>
      <c r="R32" s="27" t="s">
        <v>15</v>
      </c>
      <c r="S32" s="38">
        <v>18100.939999999999</v>
      </c>
      <c r="T32" s="47">
        <v>0</v>
      </c>
      <c r="U32" s="34">
        <f t="shared" si="12"/>
        <v>18100.939999999999</v>
      </c>
      <c r="V32" s="35">
        <v>0</v>
      </c>
      <c r="W32" s="36">
        <f t="shared" si="7"/>
        <v>18100.939999999999</v>
      </c>
    </row>
    <row r="33" spans="1:25" x14ac:dyDescent="0.25">
      <c r="A33" s="5" t="s">
        <v>69</v>
      </c>
      <c r="B33" s="46" t="s">
        <v>70</v>
      </c>
      <c r="C33" s="27" t="s">
        <v>15</v>
      </c>
      <c r="D33" s="27" t="s">
        <v>15</v>
      </c>
      <c r="E33" s="28">
        <v>285</v>
      </c>
      <c r="F33" s="29">
        <v>0</v>
      </c>
      <c r="G33" s="30">
        <f t="shared" si="9"/>
        <v>285</v>
      </c>
      <c r="H33" s="31">
        <v>0</v>
      </c>
      <c r="I33" s="27">
        <f t="shared" si="11"/>
        <v>285</v>
      </c>
      <c r="J33" s="27" t="s">
        <v>15</v>
      </c>
      <c r="K33" s="27" t="s">
        <v>15</v>
      </c>
      <c r="L33" s="38">
        <v>1981.48</v>
      </c>
      <c r="M33" s="47">
        <v>0</v>
      </c>
      <c r="N33" s="34">
        <f t="shared" si="13"/>
        <v>1981.48</v>
      </c>
      <c r="O33" s="35">
        <v>0</v>
      </c>
      <c r="P33" s="36">
        <f t="shared" si="1"/>
        <v>1981.48</v>
      </c>
      <c r="Q33" s="27" t="s">
        <v>15</v>
      </c>
      <c r="R33" s="27" t="s">
        <v>15</v>
      </c>
      <c r="S33" s="38">
        <v>277.49</v>
      </c>
      <c r="T33" s="47">
        <v>0</v>
      </c>
      <c r="U33" s="34">
        <f t="shared" si="12"/>
        <v>277.49</v>
      </c>
      <c r="V33" s="35">
        <v>0</v>
      </c>
      <c r="W33" s="36">
        <f t="shared" si="7"/>
        <v>277.49</v>
      </c>
    </row>
    <row r="34" spans="1:25" x14ac:dyDescent="0.25">
      <c r="A34" s="39" t="s">
        <v>71</v>
      </c>
      <c r="B34" s="46" t="s">
        <v>72</v>
      </c>
      <c r="C34" s="27" t="s">
        <v>15</v>
      </c>
      <c r="D34" s="27" t="s">
        <v>15</v>
      </c>
      <c r="E34" s="28">
        <v>0</v>
      </c>
      <c r="F34" s="29">
        <v>0</v>
      </c>
      <c r="G34" s="30">
        <f t="shared" si="9"/>
        <v>0</v>
      </c>
      <c r="H34" s="31">
        <v>0</v>
      </c>
      <c r="I34" s="27">
        <f t="shared" si="11"/>
        <v>0</v>
      </c>
      <c r="J34" s="27" t="s">
        <v>15</v>
      </c>
      <c r="K34" s="27" t="s">
        <v>15</v>
      </c>
      <c r="L34" s="38">
        <v>0</v>
      </c>
      <c r="M34" s="47">
        <v>0</v>
      </c>
      <c r="N34" s="34">
        <f t="shared" si="13"/>
        <v>0</v>
      </c>
      <c r="O34" s="35">
        <v>0</v>
      </c>
      <c r="P34" s="36">
        <f t="shared" si="1"/>
        <v>0</v>
      </c>
      <c r="Q34" s="27" t="s">
        <v>15</v>
      </c>
      <c r="R34" s="27" t="s">
        <v>15</v>
      </c>
      <c r="S34" s="38">
        <v>913.5</v>
      </c>
      <c r="T34" s="47">
        <v>0</v>
      </c>
      <c r="U34" s="34">
        <f t="shared" si="12"/>
        <v>913.5</v>
      </c>
      <c r="V34" s="35">
        <v>0</v>
      </c>
      <c r="W34" s="36">
        <f t="shared" si="7"/>
        <v>913.5</v>
      </c>
    </row>
    <row r="35" spans="1:25" x14ac:dyDescent="0.25">
      <c r="A35" s="5" t="s">
        <v>73</v>
      </c>
      <c r="B35" s="46" t="s">
        <v>74</v>
      </c>
      <c r="C35" s="27" t="s">
        <v>15</v>
      </c>
      <c r="D35" s="27" t="s">
        <v>15</v>
      </c>
      <c r="E35" s="28">
        <v>0</v>
      </c>
      <c r="F35" s="29">
        <v>0</v>
      </c>
      <c r="G35" s="30">
        <f t="shared" si="9"/>
        <v>0</v>
      </c>
      <c r="H35" s="31">
        <v>0</v>
      </c>
      <c r="I35" s="27">
        <f t="shared" si="11"/>
        <v>0</v>
      </c>
      <c r="J35" s="27" t="s">
        <v>15</v>
      </c>
      <c r="K35" s="27" t="s">
        <v>15</v>
      </c>
      <c r="L35" s="38">
        <v>375.58</v>
      </c>
      <c r="M35" s="47">
        <v>0</v>
      </c>
      <c r="N35" s="34">
        <f t="shared" si="13"/>
        <v>375.58</v>
      </c>
      <c r="O35" s="35">
        <v>0</v>
      </c>
      <c r="P35" s="36">
        <f t="shared" si="1"/>
        <v>375.58</v>
      </c>
      <c r="Q35" s="27" t="s">
        <v>15</v>
      </c>
      <c r="R35" s="27" t="s">
        <v>15</v>
      </c>
      <c r="S35" s="38">
        <v>366.66</v>
      </c>
      <c r="T35" s="47">
        <v>0</v>
      </c>
      <c r="U35" s="34">
        <f t="shared" si="12"/>
        <v>366.66</v>
      </c>
      <c r="V35" s="35">
        <v>0</v>
      </c>
      <c r="W35" s="36">
        <f t="shared" si="7"/>
        <v>366.66</v>
      </c>
    </row>
    <row r="36" spans="1:25" x14ac:dyDescent="0.25">
      <c r="A36" s="5" t="s">
        <v>75</v>
      </c>
      <c r="B36" s="46" t="s">
        <v>76</v>
      </c>
      <c r="C36" s="27" t="s">
        <v>15</v>
      </c>
      <c r="D36" s="27" t="s">
        <v>15</v>
      </c>
      <c r="E36" s="28">
        <f>13768.3+1195</f>
        <v>14963.3</v>
      </c>
      <c r="F36" s="29">
        <v>7462.3</v>
      </c>
      <c r="G36" s="30">
        <f t="shared" si="9"/>
        <v>22425.599999999999</v>
      </c>
      <c r="H36" s="31">
        <v>0</v>
      </c>
      <c r="I36" s="27">
        <f t="shared" si="11"/>
        <v>22425.599999999999</v>
      </c>
      <c r="J36" s="27" t="s">
        <v>15</v>
      </c>
      <c r="K36" s="27" t="s">
        <v>15</v>
      </c>
      <c r="L36" s="38">
        <v>12121.08</v>
      </c>
      <c r="M36" s="33">
        <v>3890.99</v>
      </c>
      <c r="N36" s="34">
        <f t="shared" si="13"/>
        <v>16012.07</v>
      </c>
      <c r="O36" s="35">
        <v>0</v>
      </c>
      <c r="P36" s="36">
        <f t="shared" si="1"/>
        <v>16012.07</v>
      </c>
      <c r="Q36" s="27" t="s">
        <v>15</v>
      </c>
      <c r="R36" s="27" t="s">
        <v>15</v>
      </c>
      <c r="S36" s="38">
        <v>15187.35</v>
      </c>
      <c r="T36" s="33">
        <v>7572.51</v>
      </c>
      <c r="U36" s="34">
        <f t="shared" si="12"/>
        <v>22759.86</v>
      </c>
      <c r="V36" s="35">
        <v>0</v>
      </c>
      <c r="W36" s="36">
        <f t="shared" si="7"/>
        <v>22759.86</v>
      </c>
    </row>
    <row r="37" spans="1:25" x14ac:dyDescent="0.25">
      <c r="A37" s="5" t="s">
        <v>77</v>
      </c>
      <c r="B37" s="46" t="s">
        <v>78</v>
      </c>
      <c r="C37" s="27" t="s">
        <v>15</v>
      </c>
      <c r="D37" s="27" t="s">
        <v>15</v>
      </c>
      <c r="E37" s="28">
        <v>1428.5</v>
      </c>
      <c r="F37" s="29">
        <v>0</v>
      </c>
      <c r="G37" s="30">
        <f t="shared" si="9"/>
        <v>1428.5</v>
      </c>
      <c r="H37" s="31">
        <v>0</v>
      </c>
      <c r="I37" s="27">
        <f t="shared" si="11"/>
        <v>1428.5</v>
      </c>
      <c r="J37" s="27" t="s">
        <v>15</v>
      </c>
      <c r="K37" s="27" t="s">
        <v>15</v>
      </c>
      <c r="L37" s="38">
        <v>3653.66</v>
      </c>
      <c r="M37" s="47">
        <v>0</v>
      </c>
      <c r="N37" s="34">
        <f t="shared" si="13"/>
        <v>3653.66</v>
      </c>
      <c r="O37" s="35">
        <v>0</v>
      </c>
      <c r="P37" s="36">
        <f t="shared" si="1"/>
        <v>3653.66</v>
      </c>
      <c r="Q37" s="27" t="s">
        <v>15</v>
      </c>
      <c r="R37" s="27" t="s">
        <v>15</v>
      </c>
      <c r="S37" s="38">
        <v>235.56</v>
      </c>
      <c r="T37" s="47">
        <v>0</v>
      </c>
      <c r="U37" s="34">
        <f t="shared" si="12"/>
        <v>235.56</v>
      </c>
      <c r="V37" s="35">
        <v>0</v>
      </c>
      <c r="W37" s="36">
        <f t="shared" si="7"/>
        <v>235.56</v>
      </c>
    </row>
    <row r="38" spans="1:25" x14ac:dyDescent="0.25">
      <c r="A38" s="5" t="s">
        <v>79</v>
      </c>
      <c r="B38" s="46" t="s">
        <v>80</v>
      </c>
      <c r="C38" s="27" t="s">
        <v>15</v>
      </c>
      <c r="D38" s="27" t="s">
        <v>15</v>
      </c>
      <c r="E38" s="28">
        <v>0</v>
      </c>
      <c r="F38" s="29">
        <v>0</v>
      </c>
      <c r="G38" s="30">
        <f t="shared" si="9"/>
        <v>0</v>
      </c>
      <c r="H38" s="31">
        <v>0</v>
      </c>
      <c r="I38" s="27">
        <f t="shared" si="11"/>
        <v>0</v>
      </c>
      <c r="J38" s="27" t="s">
        <v>15</v>
      </c>
      <c r="K38" s="27" t="s">
        <v>15</v>
      </c>
      <c r="L38" s="38">
        <v>1608.06</v>
      </c>
      <c r="M38" s="47">
        <v>0</v>
      </c>
      <c r="N38" s="34">
        <f t="shared" si="13"/>
        <v>1608.06</v>
      </c>
      <c r="O38" s="35">
        <v>0</v>
      </c>
      <c r="P38" s="36">
        <f t="shared" si="1"/>
        <v>1608.06</v>
      </c>
      <c r="Q38" s="27" t="s">
        <v>15</v>
      </c>
      <c r="R38" s="27" t="s">
        <v>15</v>
      </c>
      <c r="S38" s="38">
        <v>0</v>
      </c>
      <c r="T38" s="47">
        <v>0</v>
      </c>
      <c r="U38" s="34">
        <f t="shared" si="12"/>
        <v>0</v>
      </c>
      <c r="V38" s="35">
        <v>0</v>
      </c>
      <c r="W38" s="36">
        <f t="shared" si="7"/>
        <v>0</v>
      </c>
    </row>
    <row r="39" spans="1:25" x14ac:dyDescent="0.25">
      <c r="A39" s="5" t="s">
        <v>81</v>
      </c>
      <c r="B39" s="6" t="s">
        <v>82</v>
      </c>
      <c r="C39" s="27">
        <v>0.65</v>
      </c>
      <c r="D39" s="27">
        <v>0.35</v>
      </c>
      <c r="E39" s="28">
        <f>7019.58+935</f>
        <v>7954.58</v>
      </c>
      <c r="F39" s="29">
        <v>805.62</v>
      </c>
      <c r="G39" s="30">
        <f t="shared" si="9"/>
        <v>8760.2000000000007</v>
      </c>
      <c r="H39" s="31">
        <v>0</v>
      </c>
      <c r="I39" s="27">
        <f t="shared" si="11"/>
        <v>8760.2000000000007</v>
      </c>
      <c r="J39" s="27">
        <v>0.65</v>
      </c>
      <c r="K39" s="27">
        <v>0.35</v>
      </c>
      <c r="L39" s="38">
        <v>4368.55</v>
      </c>
      <c r="M39" s="33">
        <v>1300</v>
      </c>
      <c r="N39" s="34">
        <f t="shared" si="13"/>
        <v>5668.55</v>
      </c>
      <c r="O39" s="35">
        <v>600</v>
      </c>
      <c r="P39" s="36">
        <f t="shared" si="1"/>
        <v>6268.55</v>
      </c>
      <c r="Q39" s="27">
        <v>0.65</v>
      </c>
      <c r="R39" s="27">
        <v>0.35</v>
      </c>
      <c r="S39" s="38">
        <v>4563.66</v>
      </c>
      <c r="T39" s="33">
        <v>812.84</v>
      </c>
      <c r="U39" s="34">
        <f t="shared" si="12"/>
        <v>5376.5</v>
      </c>
      <c r="V39" s="35">
        <v>0</v>
      </c>
      <c r="W39" s="36">
        <f t="shared" si="7"/>
        <v>5376.5</v>
      </c>
      <c r="Y39" s="26"/>
    </row>
    <row r="40" spans="1:25" ht="14.45" x14ac:dyDescent="0.3">
      <c r="A40" s="5" t="s">
        <v>83</v>
      </c>
      <c r="B40" s="6" t="s">
        <v>84</v>
      </c>
      <c r="C40" s="27" t="s">
        <v>15</v>
      </c>
      <c r="D40" s="27" t="s">
        <v>15</v>
      </c>
      <c r="E40" s="28">
        <f>955.46+117.38</f>
        <v>1072.8400000000001</v>
      </c>
      <c r="F40" s="29">
        <v>510.67</v>
      </c>
      <c r="G40" s="30">
        <f t="shared" si="9"/>
        <v>1583.5100000000002</v>
      </c>
      <c r="H40" s="31">
        <v>221.1</v>
      </c>
      <c r="I40" s="27">
        <f t="shared" si="11"/>
        <v>1804.6100000000001</v>
      </c>
      <c r="J40" s="27" t="s">
        <v>15</v>
      </c>
      <c r="K40" s="27" t="s">
        <v>15</v>
      </c>
      <c r="L40" s="38">
        <v>1590.16</v>
      </c>
      <c r="M40" s="47">
        <v>383.93</v>
      </c>
      <c r="N40" s="34">
        <f t="shared" si="13"/>
        <v>1974.0900000000001</v>
      </c>
      <c r="O40" s="35">
        <v>0</v>
      </c>
      <c r="P40" s="36">
        <f t="shared" si="1"/>
        <v>1974.0900000000001</v>
      </c>
      <c r="Q40" s="27" t="s">
        <v>15</v>
      </c>
      <c r="R40" s="27" t="s">
        <v>15</v>
      </c>
      <c r="S40" s="38">
        <f>1102.4+68.88</f>
        <v>1171.2800000000002</v>
      </c>
      <c r="T40" s="47">
        <v>475.76</v>
      </c>
      <c r="U40" s="34">
        <f t="shared" si="12"/>
        <v>1647.0400000000002</v>
      </c>
      <c r="V40" s="35">
        <v>61.73</v>
      </c>
      <c r="W40" s="36">
        <f t="shared" si="7"/>
        <v>1708.7700000000002</v>
      </c>
    </row>
    <row r="41" spans="1:25" x14ac:dyDescent="0.25">
      <c r="A41" s="5" t="s">
        <v>85</v>
      </c>
      <c r="B41" s="46" t="s">
        <v>86</v>
      </c>
      <c r="C41" s="27"/>
      <c r="D41" s="27"/>
      <c r="E41" s="28">
        <v>0</v>
      </c>
      <c r="F41" s="29">
        <v>0</v>
      </c>
      <c r="G41" s="30">
        <f t="shared" si="9"/>
        <v>0</v>
      </c>
      <c r="H41" s="31">
        <v>0</v>
      </c>
      <c r="I41" s="27">
        <f t="shared" si="11"/>
        <v>0</v>
      </c>
      <c r="J41" s="27"/>
      <c r="K41" s="27"/>
      <c r="L41" s="38">
        <v>0</v>
      </c>
      <c r="M41" s="47">
        <v>0</v>
      </c>
      <c r="N41" s="34">
        <f t="shared" si="13"/>
        <v>0</v>
      </c>
      <c r="O41" s="35">
        <v>0</v>
      </c>
      <c r="P41" s="36">
        <f t="shared" si="1"/>
        <v>0</v>
      </c>
      <c r="Q41" s="27"/>
      <c r="R41" s="27"/>
      <c r="S41" s="38">
        <v>0</v>
      </c>
      <c r="T41" s="47">
        <v>0</v>
      </c>
      <c r="U41" s="34">
        <f t="shared" si="12"/>
        <v>0</v>
      </c>
      <c r="V41" s="35">
        <v>0</v>
      </c>
      <c r="W41" s="36">
        <f t="shared" si="7"/>
        <v>0</v>
      </c>
    </row>
    <row r="42" spans="1:25" ht="14.45" x14ac:dyDescent="0.3">
      <c r="A42" s="5" t="s">
        <v>87</v>
      </c>
      <c r="B42" s="6" t="s">
        <v>88</v>
      </c>
      <c r="C42" s="27">
        <v>0.69</v>
      </c>
      <c r="D42" s="27">
        <v>0.31</v>
      </c>
      <c r="E42" s="28">
        <v>0</v>
      </c>
      <c r="F42" s="29">
        <v>0</v>
      </c>
      <c r="G42" s="30">
        <f t="shared" si="9"/>
        <v>0</v>
      </c>
      <c r="H42" s="31">
        <v>0</v>
      </c>
      <c r="I42" s="27">
        <f t="shared" si="11"/>
        <v>0</v>
      </c>
      <c r="J42" s="27">
        <v>0.69</v>
      </c>
      <c r="K42" s="27">
        <v>0.31</v>
      </c>
      <c r="L42" s="38">
        <v>1279.74</v>
      </c>
      <c r="M42" s="33">
        <v>517.91999999999996</v>
      </c>
      <c r="N42" s="34">
        <f t="shared" si="13"/>
        <v>1797.6599999999999</v>
      </c>
      <c r="O42" s="35">
        <v>0</v>
      </c>
      <c r="P42" s="36">
        <f t="shared" si="1"/>
        <v>1797.6599999999999</v>
      </c>
      <c r="Q42" s="27">
        <v>0.69</v>
      </c>
      <c r="R42" s="27">
        <v>0.31</v>
      </c>
      <c r="S42" s="38">
        <v>1525.05</v>
      </c>
      <c r="T42" s="33">
        <v>505.45</v>
      </c>
      <c r="U42" s="34">
        <f t="shared" si="12"/>
        <v>2030.5</v>
      </c>
      <c r="V42" s="35">
        <v>0</v>
      </c>
      <c r="W42" s="36">
        <f t="shared" si="7"/>
        <v>2030.5</v>
      </c>
    </row>
    <row r="43" spans="1:25" ht="14.45" x14ac:dyDescent="0.3">
      <c r="A43" s="5" t="s">
        <v>89</v>
      </c>
      <c r="B43" s="6" t="s">
        <v>90</v>
      </c>
      <c r="C43" s="27">
        <v>0.65</v>
      </c>
      <c r="D43" s="27">
        <v>0.35</v>
      </c>
      <c r="E43" s="28">
        <v>1532.39</v>
      </c>
      <c r="F43" s="29">
        <v>2228.1</v>
      </c>
      <c r="G43" s="30">
        <f t="shared" si="9"/>
        <v>3760.49</v>
      </c>
      <c r="H43" s="31">
        <v>705.79</v>
      </c>
      <c r="I43" s="27">
        <f t="shared" si="11"/>
        <v>4466.28</v>
      </c>
      <c r="J43" s="27">
        <v>0.65</v>
      </c>
      <c r="K43" s="27">
        <v>0.35</v>
      </c>
      <c r="L43" s="38">
        <v>2734.22</v>
      </c>
      <c r="M43" s="33">
        <v>2473.5700000000002</v>
      </c>
      <c r="N43" s="34">
        <f t="shared" si="13"/>
        <v>5207.79</v>
      </c>
      <c r="O43" s="35">
        <v>1000</v>
      </c>
      <c r="P43" s="36">
        <f t="shared" si="1"/>
        <v>6207.79</v>
      </c>
      <c r="Q43" s="27">
        <v>0.65</v>
      </c>
      <c r="R43" s="27">
        <v>0.35</v>
      </c>
      <c r="S43" s="38">
        <v>1775.98</v>
      </c>
      <c r="T43" s="33">
        <v>2632.86</v>
      </c>
      <c r="U43" s="34">
        <f t="shared" si="12"/>
        <v>4408.84</v>
      </c>
      <c r="V43" s="35">
        <v>681.04</v>
      </c>
      <c r="W43" s="36">
        <f t="shared" si="7"/>
        <v>5089.88</v>
      </c>
    </row>
    <row r="44" spans="1:25" ht="14.45" x14ac:dyDescent="0.3">
      <c r="A44" s="5" t="s">
        <v>91</v>
      </c>
      <c r="B44" s="6" t="s">
        <v>92</v>
      </c>
      <c r="C44" s="27">
        <v>0.69</v>
      </c>
      <c r="D44" s="27">
        <v>0.31</v>
      </c>
      <c r="E44" s="28">
        <v>2047.89</v>
      </c>
      <c r="F44" s="29">
        <v>920.05</v>
      </c>
      <c r="G44" s="30">
        <f t="shared" si="9"/>
        <v>2967.94</v>
      </c>
      <c r="H44" s="31">
        <v>0</v>
      </c>
      <c r="I44" s="27">
        <f t="shared" si="11"/>
        <v>2967.94</v>
      </c>
      <c r="J44" s="27">
        <v>0.69</v>
      </c>
      <c r="K44" s="27">
        <v>0.31</v>
      </c>
      <c r="L44" s="38">
        <v>1978.19</v>
      </c>
      <c r="M44" s="33">
        <v>800.58</v>
      </c>
      <c r="N44" s="34">
        <f t="shared" si="13"/>
        <v>2778.77</v>
      </c>
      <c r="O44" s="35">
        <v>0</v>
      </c>
      <c r="P44" s="36">
        <f t="shared" si="1"/>
        <v>2778.77</v>
      </c>
      <c r="Q44" s="27">
        <v>0.69</v>
      </c>
      <c r="R44" s="27">
        <v>0.31</v>
      </c>
      <c r="S44" s="38">
        <v>1908.09</v>
      </c>
      <c r="T44" s="33">
        <v>857.25</v>
      </c>
      <c r="U44" s="34">
        <f t="shared" si="12"/>
        <v>2765.34</v>
      </c>
      <c r="V44" s="35">
        <v>0</v>
      </c>
      <c r="W44" s="36">
        <f t="shared" si="7"/>
        <v>2765.34</v>
      </c>
    </row>
    <row r="45" spans="1:25" ht="14.45" x14ac:dyDescent="0.3">
      <c r="A45" s="5" t="s">
        <v>93</v>
      </c>
      <c r="B45" s="6" t="s">
        <v>94</v>
      </c>
      <c r="C45" s="27">
        <v>0.71</v>
      </c>
      <c r="D45" s="27">
        <v>0.28999999999999998</v>
      </c>
      <c r="E45" s="28">
        <v>3233.83</v>
      </c>
      <c r="F45" s="29">
        <v>1363.35</v>
      </c>
      <c r="G45" s="30">
        <f t="shared" si="9"/>
        <v>4597.18</v>
      </c>
      <c r="H45" s="31">
        <v>0</v>
      </c>
      <c r="I45" s="27">
        <f t="shared" si="11"/>
        <v>4597.18</v>
      </c>
      <c r="J45" s="27">
        <v>0.71</v>
      </c>
      <c r="K45" s="27">
        <v>0.28999999999999998</v>
      </c>
      <c r="L45" s="38">
        <f>N45*J45</f>
        <v>4260</v>
      </c>
      <c r="M45" s="33">
        <f>N45*K45</f>
        <v>1739.9999999999998</v>
      </c>
      <c r="N45" s="34">
        <v>6000</v>
      </c>
      <c r="O45" s="35">
        <v>0</v>
      </c>
      <c r="P45" s="36">
        <f t="shared" si="1"/>
        <v>6000</v>
      </c>
      <c r="Q45" s="27">
        <v>0.71</v>
      </c>
      <c r="R45" s="27">
        <v>0.28999999999999998</v>
      </c>
      <c r="S45" s="38">
        <v>3056.93</v>
      </c>
      <c r="T45" s="33">
        <v>1360.62</v>
      </c>
      <c r="U45" s="34">
        <f t="shared" si="12"/>
        <v>4417.5499999999993</v>
      </c>
      <c r="V45" s="35">
        <v>0</v>
      </c>
      <c r="W45" s="36">
        <f t="shared" si="7"/>
        <v>4417.5499999999993</v>
      </c>
    </row>
    <row r="46" spans="1:25" x14ac:dyDescent="0.25">
      <c r="A46" s="5" t="s">
        <v>95</v>
      </c>
      <c r="B46" s="6" t="s">
        <v>96</v>
      </c>
      <c r="C46" s="27">
        <v>0.71</v>
      </c>
      <c r="D46" s="27">
        <v>0.28999999999999998</v>
      </c>
      <c r="E46" s="28">
        <v>653.83000000000004</v>
      </c>
      <c r="F46" s="29">
        <v>228.1</v>
      </c>
      <c r="G46" s="30">
        <f t="shared" si="9"/>
        <v>881.93000000000006</v>
      </c>
      <c r="H46" s="31">
        <v>0</v>
      </c>
      <c r="I46" s="27">
        <f t="shared" si="11"/>
        <v>881.93000000000006</v>
      </c>
      <c r="J46" s="27">
        <v>0.71</v>
      </c>
      <c r="K46" s="27">
        <v>0.28999999999999998</v>
      </c>
      <c r="L46" s="38">
        <v>710.63</v>
      </c>
      <c r="M46" s="33">
        <v>287.58999999999997</v>
      </c>
      <c r="N46" s="34">
        <f>L46+M46</f>
        <v>998.22</v>
      </c>
      <c r="O46" s="35">
        <v>0</v>
      </c>
      <c r="P46" s="36">
        <f t="shared" si="1"/>
        <v>998.22</v>
      </c>
      <c r="Q46" s="27">
        <v>0.71</v>
      </c>
      <c r="R46" s="27">
        <v>0.28999999999999998</v>
      </c>
      <c r="S46" s="38">
        <v>698.02</v>
      </c>
      <c r="T46" s="33">
        <v>284.10000000000002</v>
      </c>
      <c r="U46" s="34">
        <f t="shared" si="12"/>
        <v>982.12</v>
      </c>
      <c r="V46" s="35">
        <v>0</v>
      </c>
      <c r="W46" s="36">
        <f t="shared" si="7"/>
        <v>982.12</v>
      </c>
    </row>
    <row r="47" spans="1:25" x14ac:dyDescent="0.25">
      <c r="A47" s="5" t="s">
        <v>97</v>
      </c>
      <c r="B47" s="46" t="s">
        <v>98</v>
      </c>
      <c r="C47" s="27"/>
      <c r="D47" s="27"/>
      <c r="E47" s="28">
        <v>0</v>
      </c>
      <c r="F47" s="29">
        <v>0</v>
      </c>
      <c r="G47" s="30">
        <f t="shared" si="9"/>
        <v>0</v>
      </c>
      <c r="H47" s="31">
        <v>0</v>
      </c>
      <c r="I47" s="27">
        <f t="shared" si="11"/>
        <v>0</v>
      </c>
      <c r="J47" s="27"/>
      <c r="K47" s="27"/>
      <c r="L47" s="38">
        <v>0</v>
      </c>
      <c r="M47" s="47">
        <v>0</v>
      </c>
      <c r="N47" s="34">
        <f>L47+M47</f>
        <v>0</v>
      </c>
      <c r="O47" s="35">
        <v>0</v>
      </c>
      <c r="P47" s="36">
        <f t="shared" si="1"/>
        <v>0</v>
      </c>
      <c r="Q47" s="27"/>
      <c r="R47" s="27"/>
      <c r="S47" s="38">
        <v>0</v>
      </c>
      <c r="T47" s="47">
        <v>0</v>
      </c>
      <c r="U47" s="34">
        <f t="shared" si="12"/>
        <v>0</v>
      </c>
      <c r="V47" s="35">
        <v>0</v>
      </c>
      <c r="W47" s="36">
        <f t="shared" si="7"/>
        <v>0</v>
      </c>
    </row>
    <row r="48" spans="1:25" ht="14.45" x14ac:dyDescent="0.3">
      <c r="A48" s="5" t="s">
        <v>99</v>
      </c>
      <c r="B48" s="6" t="s">
        <v>100</v>
      </c>
      <c r="C48" s="27">
        <v>0.65</v>
      </c>
      <c r="D48" s="27">
        <v>0.35</v>
      </c>
      <c r="E48" s="28">
        <v>384.82</v>
      </c>
      <c r="F48" s="29">
        <v>207.19</v>
      </c>
      <c r="G48" s="30">
        <f t="shared" si="9"/>
        <v>592.01</v>
      </c>
      <c r="H48" s="31">
        <v>0</v>
      </c>
      <c r="I48" s="27">
        <f t="shared" si="11"/>
        <v>592.01</v>
      </c>
      <c r="J48" s="27">
        <v>0.65</v>
      </c>
      <c r="K48" s="27">
        <v>0.35</v>
      </c>
      <c r="L48" s="38">
        <f>N48*J48</f>
        <v>650</v>
      </c>
      <c r="M48" s="33">
        <f>N48*K48</f>
        <v>350</v>
      </c>
      <c r="N48" s="34">
        <v>1000</v>
      </c>
      <c r="O48" s="35">
        <v>0</v>
      </c>
      <c r="P48" s="36">
        <f t="shared" si="1"/>
        <v>1000</v>
      </c>
      <c r="Q48" s="27">
        <v>0.65</v>
      </c>
      <c r="R48" s="27">
        <v>0.35</v>
      </c>
      <c r="S48" s="38">
        <v>441.95</v>
      </c>
      <c r="T48" s="33">
        <v>237.93</v>
      </c>
      <c r="U48" s="34">
        <f t="shared" si="12"/>
        <v>679.88</v>
      </c>
      <c r="V48" s="35">
        <v>0</v>
      </c>
      <c r="W48" s="36">
        <f t="shared" si="7"/>
        <v>679.88</v>
      </c>
    </row>
    <row r="49" spans="1:23" x14ac:dyDescent="0.25">
      <c r="A49" s="5" t="s">
        <v>101</v>
      </c>
      <c r="B49" s="6" t="s">
        <v>102</v>
      </c>
      <c r="C49" s="27">
        <v>0.69</v>
      </c>
      <c r="D49" s="27">
        <v>0.31</v>
      </c>
      <c r="E49" s="28">
        <v>251.08</v>
      </c>
      <c r="F49" s="29">
        <v>112.79</v>
      </c>
      <c r="G49" s="30">
        <f t="shared" si="9"/>
        <v>363.87</v>
      </c>
      <c r="H49" s="31">
        <v>0</v>
      </c>
      <c r="I49" s="27">
        <f t="shared" si="11"/>
        <v>363.87</v>
      </c>
      <c r="J49" s="27">
        <v>0.69</v>
      </c>
      <c r="K49" s="27">
        <v>0.31</v>
      </c>
      <c r="L49" s="38">
        <f>N49*J49</f>
        <v>345</v>
      </c>
      <c r="M49" s="33">
        <f>N49*K49</f>
        <v>155</v>
      </c>
      <c r="N49" s="34">
        <v>500</v>
      </c>
      <c r="O49" s="35">
        <v>0</v>
      </c>
      <c r="P49" s="36">
        <f t="shared" si="1"/>
        <v>500</v>
      </c>
      <c r="Q49" s="27">
        <v>0.69</v>
      </c>
      <c r="R49" s="27">
        <v>0.31</v>
      </c>
      <c r="S49" s="38">
        <v>318.95</v>
      </c>
      <c r="T49" s="33">
        <v>143.28</v>
      </c>
      <c r="U49" s="34">
        <f t="shared" si="12"/>
        <v>462.23</v>
      </c>
      <c r="V49" s="35">
        <v>0</v>
      </c>
      <c r="W49" s="36">
        <f t="shared" si="7"/>
        <v>462.23</v>
      </c>
    </row>
    <row r="50" spans="1:23" ht="14.45" x14ac:dyDescent="0.3">
      <c r="A50" s="5" t="s">
        <v>103</v>
      </c>
      <c r="B50" s="6" t="s">
        <v>104</v>
      </c>
      <c r="C50" s="27">
        <v>0.69</v>
      </c>
      <c r="D50" s="27">
        <v>0.31</v>
      </c>
      <c r="E50" s="28">
        <v>497.07</v>
      </c>
      <c r="F50" s="29">
        <v>223.34</v>
      </c>
      <c r="G50" s="30">
        <f t="shared" si="9"/>
        <v>720.41</v>
      </c>
      <c r="H50" s="31">
        <v>0</v>
      </c>
      <c r="I50" s="27">
        <f t="shared" si="11"/>
        <v>720.41</v>
      </c>
      <c r="J50" s="27">
        <v>0.69</v>
      </c>
      <c r="K50" s="27">
        <v>0.31</v>
      </c>
      <c r="L50" s="38">
        <f>N50*J50</f>
        <v>138</v>
      </c>
      <c r="M50" s="33">
        <f>N50*K50</f>
        <v>62</v>
      </c>
      <c r="N50" s="34">
        <v>200</v>
      </c>
      <c r="O50" s="35">
        <v>0</v>
      </c>
      <c r="P50" s="36">
        <f t="shared" si="1"/>
        <v>200</v>
      </c>
      <c r="Q50" s="27">
        <v>0.69</v>
      </c>
      <c r="R50" s="27">
        <v>0.31</v>
      </c>
      <c r="S50" s="38">
        <v>92.04</v>
      </c>
      <c r="T50" s="33">
        <v>41.35</v>
      </c>
      <c r="U50" s="34">
        <f t="shared" si="12"/>
        <v>133.39000000000001</v>
      </c>
      <c r="V50" s="35">
        <v>0</v>
      </c>
      <c r="W50" s="36">
        <f t="shared" si="7"/>
        <v>133.39000000000001</v>
      </c>
    </row>
    <row r="51" spans="1:23" ht="14.45" x14ac:dyDescent="0.3">
      <c r="A51" s="39" t="s">
        <v>105</v>
      </c>
      <c r="B51" s="6" t="s">
        <v>106</v>
      </c>
      <c r="C51" s="27">
        <v>0.69</v>
      </c>
      <c r="D51" s="27">
        <v>0.31</v>
      </c>
      <c r="E51" s="28">
        <v>755.06</v>
      </c>
      <c r="F51" s="29">
        <v>339.23</v>
      </c>
      <c r="G51" s="30">
        <f t="shared" si="9"/>
        <v>1094.29</v>
      </c>
      <c r="H51" s="31">
        <v>0</v>
      </c>
      <c r="I51" s="27">
        <f t="shared" si="11"/>
        <v>1094.29</v>
      </c>
      <c r="J51" s="27">
        <v>0.69</v>
      </c>
      <c r="K51" s="27">
        <v>0.31</v>
      </c>
      <c r="L51" s="38">
        <f>N51*J51</f>
        <v>690</v>
      </c>
      <c r="M51" s="33">
        <f>N51*K51</f>
        <v>310</v>
      </c>
      <c r="N51" s="34">
        <v>1000</v>
      </c>
      <c r="O51" s="35">
        <v>0</v>
      </c>
      <c r="P51" s="36">
        <f t="shared" si="1"/>
        <v>1000</v>
      </c>
      <c r="Q51" s="27">
        <v>0.69</v>
      </c>
      <c r="R51" s="27">
        <v>0.31</v>
      </c>
      <c r="S51" s="38">
        <v>789.56</v>
      </c>
      <c r="T51" s="33">
        <v>354.72</v>
      </c>
      <c r="U51" s="34">
        <f t="shared" si="12"/>
        <v>1144.28</v>
      </c>
      <c r="V51" s="35">
        <v>0</v>
      </c>
      <c r="W51" s="36">
        <f t="shared" si="7"/>
        <v>1144.28</v>
      </c>
    </row>
    <row r="52" spans="1:23" x14ac:dyDescent="0.25">
      <c r="A52" s="5" t="s">
        <v>107</v>
      </c>
      <c r="B52" s="46" t="s">
        <v>108</v>
      </c>
      <c r="C52" s="27" t="s">
        <v>15</v>
      </c>
      <c r="D52" s="27" t="s">
        <v>15</v>
      </c>
      <c r="E52" s="28">
        <f>25753.82+672.7</f>
        <v>26426.52</v>
      </c>
      <c r="F52" s="29">
        <v>213.87</v>
      </c>
      <c r="G52" s="30">
        <f t="shared" si="9"/>
        <v>26640.39</v>
      </c>
      <c r="H52" s="31">
        <v>0</v>
      </c>
      <c r="I52" s="27">
        <f t="shared" si="11"/>
        <v>26640.39</v>
      </c>
      <c r="J52" s="27" t="s">
        <v>15</v>
      </c>
      <c r="K52" s="27" t="s">
        <v>15</v>
      </c>
      <c r="L52" s="38">
        <v>26046.46</v>
      </c>
      <c r="M52" s="33">
        <v>1349.57</v>
      </c>
      <c r="N52" s="34">
        <f>L52+M52</f>
        <v>27396.03</v>
      </c>
      <c r="O52" s="35">
        <v>0</v>
      </c>
      <c r="P52" s="36">
        <f t="shared" si="1"/>
        <v>27396.03</v>
      </c>
      <c r="Q52" s="27" t="s">
        <v>15</v>
      </c>
      <c r="R52" s="27" t="s">
        <v>15</v>
      </c>
      <c r="S52" s="38">
        <v>24600.39</v>
      </c>
      <c r="T52" s="33">
        <v>354.05</v>
      </c>
      <c r="U52" s="34">
        <f t="shared" si="12"/>
        <v>24954.44</v>
      </c>
      <c r="V52" s="35">
        <v>0</v>
      </c>
      <c r="W52" s="36">
        <f t="shared" si="7"/>
        <v>24954.44</v>
      </c>
    </row>
    <row r="53" spans="1:23" x14ac:dyDescent="0.25">
      <c r="A53" s="5" t="s">
        <v>109</v>
      </c>
      <c r="B53" s="6" t="s">
        <v>110</v>
      </c>
      <c r="C53" s="27" t="s">
        <v>15</v>
      </c>
      <c r="D53" s="27" t="s">
        <v>15</v>
      </c>
      <c r="E53" s="28">
        <v>759.84</v>
      </c>
      <c r="F53" s="29">
        <v>0</v>
      </c>
      <c r="G53" s="30">
        <f t="shared" si="9"/>
        <v>759.84</v>
      </c>
      <c r="H53" s="31">
        <v>0</v>
      </c>
      <c r="I53" s="27">
        <f t="shared" si="11"/>
        <v>759.84</v>
      </c>
      <c r="J53" s="27" t="s">
        <v>15</v>
      </c>
      <c r="K53" s="27" t="s">
        <v>15</v>
      </c>
      <c r="L53" s="38">
        <v>1790.05</v>
      </c>
      <c r="M53" s="33">
        <v>112.5</v>
      </c>
      <c r="N53" s="34">
        <f>L53+M53</f>
        <v>1902.55</v>
      </c>
      <c r="O53" s="35">
        <v>0</v>
      </c>
      <c r="P53" s="36">
        <f t="shared" si="1"/>
        <v>1902.55</v>
      </c>
      <c r="Q53" s="27" t="s">
        <v>15</v>
      </c>
      <c r="R53" s="27" t="s">
        <v>15</v>
      </c>
      <c r="S53" s="38">
        <v>791.01</v>
      </c>
      <c r="T53" s="33">
        <v>0</v>
      </c>
      <c r="U53" s="34">
        <f t="shared" si="12"/>
        <v>791.01</v>
      </c>
      <c r="V53" s="35">
        <v>0</v>
      </c>
      <c r="W53" s="36">
        <f t="shared" si="7"/>
        <v>791.01</v>
      </c>
    </row>
    <row r="54" spans="1:23" x14ac:dyDescent="0.25">
      <c r="A54" s="39" t="s">
        <v>111</v>
      </c>
      <c r="B54" s="6" t="s">
        <v>112</v>
      </c>
      <c r="C54" s="27"/>
      <c r="D54" s="27"/>
      <c r="E54" s="28">
        <v>0</v>
      </c>
      <c r="F54" s="29">
        <v>0</v>
      </c>
      <c r="G54" s="30">
        <f t="shared" si="9"/>
        <v>0</v>
      </c>
      <c r="H54" s="31">
        <v>0</v>
      </c>
      <c r="I54" s="27"/>
      <c r="J54" s="27"/>
      <c r="K54" s="27"/>
      <c r="L54" s="38"/>
      <c r="M54" s="33"/>
      <c r="N54" s="34"/>
      <c r="O54" s="35"/>
      <c r="P54" s="36"/>
      <c r="Q54" s="27"/>
      <c r="R54" s="27"/>
      <c r="S54" s="38">
        <v>30.01</v>
      </c>
      <c r="T54" s="33">
        <v>0</v>
      </c>
      <c r="U54" s="34">
        <f t="shared" si="12"/>
        <v>30.01</v>
      </c>
      <c r="V54" s="35">
        <v>0</v>
      </c>
      <c r="W54" s="36">
        <f t="shared" si="7"/>
        <v>30.01</v>
      </c>
    </row>
    <row r="55" spans="1:23" x14ac:dyDescent="0.25">
      <c r="A55" s="5" t="s">
        <v>113</v>
      </c>
      <c r="B55" s="6" t="s">
        <v>114</v>
      </c>
      <c r="C55" s="27" t="s">
        <v>15</v>
      </c>
      <c r="D55" s="27" t="s">
        <v>15</v>
      </c>
      <c r="E55" s="28">
        <f>722.65+242.36</f>
        <v>965.01</v>
      </c>
      <c r="F55" s="29">
        <v>14.8</v>
      </c>
      <c r="G55" s="30">
        <f t="shared" si="9"/>
        <v>979.81</v>
      </c>
      <c r="H55" s="31">
        <v>0</v>
      </c>
      <c r="I55" s="27">
        <f t="shared" ref="I55:I119" si="14">G55+H55</f>
        <v>979.81</v>
      </c>
      <c r="J55" s="27" t="s">
        <v>15</v>
      </c>
      <c r="K55" s="27" t="s">
        <v>15</v>
      </c>
      <c r="L55" s="38">
        <v>1000</v>
      </c>
      <c r="M55" s="33">
        <v>90</v>
      </c>
      <c r="N55" s="34">
        <f>L55+M55</f>
        <v>1090</v>
      </c>
      <c r="O55" s="35">
        <v>0</v>
      </c>
      <c r="P55" s="36">
        <f t="shared" ref="P55:P105" si="15">N55+O55</f>
        <v>1090</v>
      </c>
      <c r="Q55" s="27" t="s">
        <v>15</v>
      </c>
      <c r="R55" s="27" t="s">
        <v>15</v>
      </c>
      <c r="S55" s="38">
        <f>881.41+153.21</f>
        <v>1034.6199999999999</v>
      </c>
      <c r="T55" s="33">
        <v>37</v>
      </c>
      <c r="U55" s="34">
        <f t="shared" si="12"/>
        <v>1071.6199999999999</v>
      </c>
      <c r="V55" s="35">
        <v>0</v>
      </c>
      <c r="W55" s="36">
        <f t="shared" ref="W55:W69" si="16">U55+V55</f>
        <v>1071.6199999999999</v>
      </c>
    </row>
    <row r="56" spans="1:23" x14ac:dyDescent="0.25">
      <c r="A56" s="39" t="s">
        <v>115</v>
      </c>
      <c r="B56" s="6" t="s">
        <v>116</v>
      </c>
      <c r="C56" s="27" t="s">
        <v>15</v>
      </c>
      <c r="D56" s="27" t="s">
        <v>15</v>
      </c>
      <c r="E56" s="28">
        <v>85</v>
      </c>
      <c r="F56" s="29">
        <v>16</v>
      </c>
      <c r="G56" s="30">
        <f t="shared" si="9"/>
        <v>101</v>
      </c>
      <c r="H56" s="31">
        <v>16</v>
      </c>
      <c r="I56" s="27">
        <f t="shared" si="14"/>
        <v>117</v>
      </c>
      <c r="J56" s="27" t="s">
        <v>15</v>
      </c>
      <c r="K56" s="27" t="s">
        <v>15</v>
      </c>
      <c r="L56" s="38">
        <v>0</v>
      </c>
      <c r="M56" s="33">
        <v>0</v>
      </c>
      <c r="N56" s="34">
        <f>L56+M56</f>
        <v>0</v>
      </c>
      <c r="O56" s="35">
        <v>0</v>
      </c>
      <c r="P56" s="36">
        <f t="shared" si="15"/>
        <v>0</v>
      </c>
      <c r="Q56" s="27" t="s">
        <v>15</v>
      </c>
      <c r="R56" s="27" t="s">
        <v>15</v>
      </c>
      <c r="S56" s="38">
        <v>58.04</v>
      </c>
      <c r="T56" s="33">
        <v>29.96</v>
      </c>
      <c r="U56" s="34">
        <f t="shared" si="12"/>
        <v>88</v>
      </c>
      <c r="V56" s="35">
        <v>0</v>
      </c>
      <c r="W56" s="36">
        <f t="shared" si="16"/>
        <v>88</v>
      </c>
    </row>
    <row r="57" spans="1:23" x14ac:dyDescent="0.25">
      <c r="A57" s="5" t="s">
        <v>117</v>
      </c>
      <c r="B57" s="48" t="s">
        <v>118</v>
      </c>
      <c r="C57" s="27" t="s">
        <v>15</v>
      </c>
      <c r="D57" s="27" t="s">
        <v>15</v>
      </c>
      <c r="E57" s="28">
        <v>23236.83</v>
      </c>
      <c r="F57" s="29">
        <v>2128.04</v>
      </c>
      <c r="G57" s="30">
        <f t="shared" si="9"/>
        <v>25364.870000000003</v>
      </c>
      <c r="H57" s="31">
        <v>8472.7199999999993</v>
      </c>
      <c r="I57" s="27">
        <f t="shared" si="14"/>
        <v>33837.590000000004</v>
      </c>
      <c r="J57" s="27" t="s">
        <v>15</v>
      </c>
      <c r="K57" s="27" t="s">
        <v>15</v>
      </c>
      <c r="L57" s="38">
        <v>13578</v>
      </c>
      <c r="M57" s="33">
        <v>6998</v>
      </c>
      <c r="N57" s="34">
        <f>L57+M57</f>
        <v>20576</v>
      </c>
      <c r="O57" s="35">
        <v>3000</v>
      </c>
      <c r="P57" s="36">
        <f t="shared" si="15"/>
        <v>23576</v>
      </c>
      <c r="Q57" s="27" t="s">
        <v>15</v>
      </c>
      <c r="R57" s="27" t="s">
        <v>15</v>
      </c>
      <c r="S57" s="38">
        <v>11446.92</v>
      </c>
      <c r="T57" s="33">
        <v>3607.21</v>
      </c>
      <c r="U57" s="34">
        <f t="shared" si="12"/>
        <v>15054.130000000001</v>
      </c>
      <c r="V57" s="35">
        <v>6383.04</v>
      </c>
      <c r="W57" s="36">
        <f t="shared" si="16"/>
        <v>21437.170000000002</v>
      </c>
    </row>
    <row r="58" spans="1:23" x14ac:dyDescent="0.25">
      <c r="A58" s="39" t="s">
        <v>119</v>
      </c>
      <c r="B58" s="6" t="s">
        <v>120</v>
      </c>
      <c r="C58" s="27" t="s">
        <v>15</v>
      </c>
      <c r="D58" s="27" t="s">
        <v>15</v>
      </c>
      <c r="E58" s="28">
        <v>0</v>
      </c>
      <c r="F58" s="29">
        <v>0</v>
      </c>
      <c r="G58" s="30">
        <f t="shared" si="9"/>
        <v>0</v>
      </c>
      <c r="H58" s="31">
        <v>0</v>
      </c>
      <c r="I58" s="27">
        <f t="shared" si="14"/>
        <v>0</v>
      </c>
      <c r="J58" s="27" t="s">
        <v>15</v>
      </c>
      <c r="K58" s="27" t="s">
        <v>15</v>
      </c>
      <c r="L58" s="38">
        <v>0</v>
      </c>
      <c r="M58" s="33">
        <v>0</v>
      </c>
      <c r="N58" s="34">
        <f>L58+M58</f>
        <v>0</v>
      </c>
      <c r="O58" s="35">
        <v>0</v>
      </c>
      <c r="P58" s="36">
        <f t="shared" si="15"/>
        <v>0</v>
      </c>
      <c r="Q58" s="27" t="s">
        <v>15</v>
      </c>
      <c r="R58" s="27" t="s">
        <v>15</v>
      </c>
      <c r="S58" s="38">
        <v>10994.35</v>
      </c>
      <c r="T58" s="33">
        <v>35.630000000000003</v>
      </c>
      <c r="U58" s="34">
        <f t="shared" si="12"/>
        <v>11029.98</v>
      </c>
      <c r="V58" s="35">
        <v>0</v>
      </c>
      <c r="W58" s="36">
        <f t="shared" si="16"/>
        <v>11029.98</v>
      </c>
    </row>
    <row r="59" spans="1:23" ht="14.45" x14ac:dyDescent="0.3">
      <c r="A59" s="5" t="s">
        <v>121</v>
      </c>
      <c r="B59" s="6" t="s">
        <v>122</v>
      </c>
      <c r="C59" s="27">
        <v>0.83</v>
      </c>
      <c r="D59" s="27">
        <v>0.17</v>
      </c>
      <c r="E59" s="28">
        <v>8797.4599999999991</v>
      </c>
      <c r="F59" s="29">
        <v>2850.73</v>
      </c>
      <c r="G59" s="30">
        <f t="shared" si="9"/>
        <v>11648.189999999999</v>
      </c>
      <c r="H59" s="31">
        <v>3630.41</v>
      </c>
      <c r="I59" s="27">
        <f t="shared" si="14"/>
        <v>15278.599999999999</v>
      </c>
      <c r="J59" s="27">
        <v>0.83</v>
      </c>
      <c r="K59" s="27">
        <v>0.17</v>
      </c>
      <c r="L59" s="38">
        <f>N59*J59</f>
        <v>4980</v>
      </c>
      <c r="M59" s="33">
        <f>N59*K59</f>
        <v>1020.0000000000001</v>
      </c>
      <c r="N59" s="34">
        <v>6000</v>
      </c>
      <c r="O59" s="35">
        <v>2000</v>
      </c>
      <c r="P59" s="36">
        <f t="shared" si="15"/>
        <v>8000</v>
      </c>
      <c r="Q59" s="27">
        <v>0.83</v>
      </c>
      <c r="R59" s="27">
        <v>0.17</v>
      </c>
      <c r="S59" s="38">
        <f>8785.43+20.7</f>
        <v>8806.130000000001</v>
      </c>
      <c r="T59" s="33">
        <f>2924.29+9.3</f>
        <v>2933.59</v>
      </c>
      <c r="U59" s="34">
        <f t="shared" si="12"/>
        <v>11739.720000000001</v>
      </c>
      <c r="V59" s="35">
        <v>3727.2</v>
      </c>
      <c r="W59" s="36">
        <f t="shared" si="16"/>
        <v>15466.920000000002</v>
      </c>
    </row>
    <row r="60" spans="1:23" x14ac:dyDescent="0.25">
      <c r="A60" s="5" t="s">
        <v>123</v>
      </c>
      <c r="B60" s="6" t="s">
        <v>124</v>
      </c>
      <c r="C60" s="27">
        <v>0.69</v>
      </c>
      <c r="D60" s="27">
        <v>0.31</v>
      </c>
      <c r="E60" s="28">
        <v>383.26</v>
      </c>
      <c r="F60" s="29">
        <v>60.72</v>
      </c>
      <c r="G60" s="30">
        <f t="shared" si="9"/>
        <v>443.98</v>
      </c>
      <c r="H60" s="31">
        <v>0</v>
      </c>
      <c r="I60" s="27">
        <f t="shared" si="14"/>
        <v>443.98</v>
      </c>
      <c r="J60" s="27">
        <v>0.69</v>
      </c>
      <c r="K60" s="27">
        <v>0.31</v>
      </c>
      <c r="L60" s="38">
        <f>N60*J60</f>
        <v>489.9</v>
      </c>
      <c r="M60" s="33">
        <f>N60*K60</f>
        <v>220.1</v>
      </c>
      <c r="N60" s="34">
        <v>710</v>
      </c>
      <c r="O60" s="35">
        <v>0</v>
      </c>
      <c r="P60" s="36">
        <f t="shared" si="15"/>
        <v>710</v>
      </c>
      <c r="Q60" s="27">
        <v>0.69</v>
      </c>
      <c r="R60" s="27">
        <v>0.31</v>
      </c>
      <c r="S60" s="38">
        <v>410.31</v>
      </c>
      <c r="T60" s="33">
        <v>132.24</v>
      </c>
      <c r="U60" s="34">
        <f t="shared" si="12"/>
        <v>542.54999999999995</v>
      </c>
      <c r="V60" s="35">
        <v>0</v>
      </c>
      <c r="W60" s="36">
        <f t="shared" si="16"/>
        <v>542.54999999999995</v>
      </c>
    </row>
    <row r="61" spans="1:23" x14ac:dyDescent="0.25">
      <c r="A61" s="5" t="s">
        <v>125</v>
      </c>
      <c r="B61" s="6" t="s">
        <v>126</v>
      </c>
      <c r="C61" s="27" t="s">
        <v>15</v>
      </c>
      <c r="D61" s="27" t="s">
        <v>15</v>
      </c>
      <c r="E61" s="28">
        <v>2594.04</v>
      </c>
      <c r="F61" s="29">
        <v>795.6</v>
      </c>
      <c r="G61" s="30">
        <f t="shared" si="9"/>
        <v>3389.64</v>
      </c>
      <c r="H61" s="31">
        <v>390.47</v>
      </c>
      <c r="I61" s="27">
        <f t="shared" si="14"/>
        <v>3780.1099999999997</v>
      </c>
      <c r="J61" s="27" t="s">
        <v>15</v>
      </c>
      <c r="K61" s="27" t="s">
        <v>15</v>
      </c>
      <c r="L61" s="38">
        <v>5115.49</v>
      </c>
      <c r="M61" s="33">
        <v>2500</v>
      </c>
      <c r="N61" s="34">
        <f>L61+M61</f>
        <v>7615.49</v>
      </c>
      <c r="O61" s="35">
        <v>100</v>
      </c>
      <c r="P61" s="36">
        <f t="shared" si="15"/>
        <v>7715.49</v>
      </c>
      <c r="Q61" s="27" t="s">
        <v>15</v>
      </c>
      <c r="R61" s="27" t="s">
        <v>15</v>
      </c>
      <c r="S61" s="38">
        <v>1147.27</v>
      </c>
      <c r="T61" s="33">
        <v>605.02</v>
      </c>
      <c r="U61" s="34">
        <f t="shared" si="12"/>
        <v>1752.29</v>
      </c>
      <c r="V61" s="35">
        <v>154.94</v>
      </c>
      <c r="W61" s="36">
        <f t="shared" si="16"/>
        <v>1907.23</v>
      </c>
    </row>
    <row r="62" spans="1:23" ht="14.45" x14ac:dyDescent="0.3">
      <c r="A62" s="5" t="s">
        <v>127</v>
      </c>
      <c r="B62" s="6" t="s">
        <v>128</v>
      </c>
      <c r="C62" s="27">
        <v>0.69</v>
      </c>
      <c r="D62" s="27">
        <v>0.31</v>
      </c>
      <c r="E62" s="28">
        <v>0</v>
      </c>
      <c r="F62" s="29">
        <v>0</v>
      </c>
      <c r="G62" s="30">
        <f t="shared" si="9"/>
        <v>0</v>
      </c>
      <c r="H62" s="31">
        <v>0</v>
      </c>
      <c r="I62" s="27">
        <f t="shared" si="14"/>
        <v>0</v>
      </c>
      <c r="J62" s="27">
        <v>0.69</v>
      </c>
      <c r="K62" s="27">
        <v>0.31</v>
      </c>
      <c r="L62" s="38">
        <f>N62*J62</f>
        <v>3346.4999999999995</v>
      </c>
      <c r="M62" s="33">
        <f>N62*K62</f>
        <v>1503.5</v>
      </c>
      <c r="N62" s="34">
        <v>4850</v>
      </c>
      <c r="O62" s="35">
        <v>1700</v>
      </c>
      <c r="P62" s="36">
        <f t="shared" si="15"/>
        <v>6550</v>
      </c>
      <c r="Q62" s="27">
        <v>0.69</v>
      </c>
      <c r="R62" s="27">
        <v>0.31</v>
      </c>
      <c r="S62" s="38">
        <v>0</v>
      </c>
      <c r="T62" s="33">
        <v>0</v>
      </c>
      <c r="U62" s="34">
        <f t="shared" si="12"/>
        <v>0</v>
      </c>
      <c r="V62" s="35">
        <v>0</v>
      </c>
      <c r="W62" s="36">
        <f t="shared" si="16"/>
        <v>0</v>
      </c>
    </row>
    <row r="63" spans="1:23" x14ac:dyDescent="0.25">
      <c r="A63" s="5" t="s">
        <v>129</v>
      </c>
      <c r="B63" s="49" t="s">
        <v>130</v>
      </c>
      <c r="C63" s="27" t="s">
        <v>15</v>
      </c>
      <c r="D63" s="27" t="s">
        <v>15</v>
      </c>
      <c r="E63" s="28">
        <v>0</v>
      </c>
      <c r="F63" s="29">
        <v>0</v>
      </c>
      <c r="G63" s="30">
        <f t="shared" si="9"/>
        <v>0</v>
      </c>
      <c r="H63" s="31">
        <v>0</v>
      </c>
      <c r="I63" s="27">
        <f t="shared" si="14"/>
        <v>0</v>
      </c>
      <c r="J63" s="27" t="s">
        <v>15</v>
      </c>
      <c r="K63" s="27" t="s">
        <v>15</v>
      </c>
      <c r="L63" s="38">
        <v>659.21</v>
      </c>
      <c r="M63" s="33">
        <v>0</v>
      </c>
      <c r="N63" s="34">
        <f>L63+M63</f>
        <v>659.21</v>
      </c>
      <c r="O63" s="35">
        <v>0</v>
      </c>
      <c r="P63" s="36">
        <f t="shared" si="15"/>
        <v>659.21</v>
      </c>
      <c r="Q63" s="27" t="s">
        <v>15</v>
      </c>
      <c r="R63" s="27" t="s">
        <v>15</v>
      </c>
      <c r="S63" s="38">
        <v>0</v>
      </c>
      <c r="T63" s="33">
        <v>0</v>
      </c>
      <c r="U63" s="34">
        <f t="shared" si="12"/>
        <v>0</v>
      </c>
      <c r="V63" s="35">
        <v>0</v>
      </c>
      <c r="W63" s="36">
        <f t="shared" si="16"/>
        <v>0</v>
      </c>
    </row>
    <row r="64" spans="1:23" x14ac:dyDescent="0.25">
      <c r="A64" s="50" t="s">
        <v>131</v>
      </c>
      <c r="B64" s="51" t="s">
        <v>132</v>
      </c>
      <c r="C64" s="27">
        <v>0.71</v>
      </c>
      <c r="D64" s="27">
        <v>0.28999999999999998</v>
      </c>
      <c r="E64" s="28">
        <v>1367.75</v>
      </c>
      <c r="F64" s="29">
        <v>0</v>
      </c>
      <c r="G64" s="30">
        <f t="shared" si="9"/>
        <v>1367.75</v>
      </c>
      <c r="H64" s="31">
        <v>0</v>
      </c>
      <c r="I64" s="27">
        <f t="shared" si="14"/>
        <v>1367.75</v>
      </c>
      <c r="J64" s="27">
        <v>0.71</v>
      </c>
      <c r="K64" s="27">
        <v>0.28999999999999998</v>
      </c>
      <c r="L64" s="38">
        <f>N64*J64</f>
        <v>300.33</v>
      </c>
      <c r="M64" s="33">
        <f>N64*K64</f>
        <v>122.66999999999999</v>
      </c>
      <c r="N64" s="34">
        <v>423</v>
      </c>
      <c r="O64" s="35">
        <v>0</v>
      </c>
      <c r="P64" s="36">
        <f t="shared" si="15"/>
        <v>423</v>
      </c>
      <c r="Q64" s="27">
        <v>0.71</v>
      </c>
      <c r="R64" s="27">
        <v>0.28999999999999998</v>
      </c>
      <c r="S64" s="38">
        <v>1654.11</v>
      </c>
      <c r="T64" s="33">
        <v>199.6</v>
      </c>
      <c r="U64" s="34">
        <f t="shared" si="12"/>
        <v>1853.7099999999998</v>
      </c>
      <c r="V64" s="35">
        <v>0</v>
      </c>
      <c r="W64" s="36">
        <f t="shared" si="16"/>
        <v>1853.7099999999998</v>
      </c>
    </row>
    <row r="65" spans="1:24" ht="14.45" x14ac:dyDescent="0.3">
      <c r="A65" s="5" t="s">
        <v>133</v>
      </c>
      <c r="B65" s="6" t="s">
        <v>134</v>
      </c>
      <c r="C65" s="27">
        <v>0.71</v>
      </c>
      <c r="D65" s="27">
        <v>0.28999999999999998</v>
      </c>
      <c r="E65" s="28">
        <v>2473.41</v>
      </c>
      <c r="F65" s="29">
        <v>1010.26</v>
      </c>
      <c r="G65" s="30">
        <f t="shared" si="9"/>
        <v>3483.67</v>
      </c>
      <c r="H65" s="31">
        <v>0</v>
      </c>
      <c r="I65" s="27">
        <f t="shared" si="14"/>
        <v>3483.67</v>
      </c>
      <c r="J65" s="27">
        <v>0.71</v>
      </c>
      <c r="K65" s="27">
        <v>0.28999999999999998</v>
      </c>
      <c r="L65" s="38">
        <f>N65*J65</f>
        <v>3043.77</v>
      </c>
      <c r="M65" s="33">
        <f>N65*K65</f>
        <v>1243.23</v>
      </c>
      <c r="N65" s="34">
        <v>4287</v>
      </c>
      <c r="O65" s="35">
        <v>0</v>
      </c>
      <c r="P65" s="36">
        <f t="shared" si="15"/>
        <v>4287</v>
      </c>
      <c r="Q65" s="27">
        <v>0.71</v>
      </c>
      <c r="R65" s="27">
        <v>0.28999999999999998</v>
      </c>
      <c r="S65" s="38">
        <v>2551.34</v>
      </c>
      <c r="T65" s="33">
        <v>1042.0899999999999</v>
      </c>
      <c r="U65" s="34">
        <f t="shared" si="12"/>
        <v>3593.4300000000003</v>
      </c>
      <c r="V65" s="35">
        <v>0</v>
      </c>
      <c r="W65" s="36">
        <f t="shared" si="16"/>
        <v>3593.4300000000003</v>
      </c>
    </row>
    <row r="66" spans="1:24" ht="14.45" x14ac:dyDescent="0.3">
      <c r="A66" s="5" t="s">
        <v>135</v>
      </c>
      <c r="B66" s="6" t="s">
        <v>136</v>
      </c>
      <c r="C66" s="27" t="s">
        <v>15</v>
      </c>
      <c r="D66" s="27" t="s">
        <v>15</v>
      </c>
      <c r="E66" s="28">
        <v>2018.74</v>
      </c>
      <c r="F66" s="29">
        <v>0</v>
      </c>
      <c r="G66" s="30">
        <f t="shared" si="9"/>
        <v>2018.74</v>
      </c>
      <c r="H66" s="31">
        <v>0</v>
      </c>
      <c r="I66" s="27">
        <f t="shared" si="14"/>
        <v>2018.74</v>
      </c>
      <c r="J66" s="27" t="s">
        <v>15</v>
      </c>
      <c r="K66" s="27" t="s">
        <v>15</v>
      </c>
      <c r="L66" s="38">
        <v>5718.08</v>
      </c>
      <c r="M66" s="47">
        <v>0</v>
      </c>
      <c r="N66" s="34">
        <f t="shared" ref="N66:N74" si="17">L66+M66</f>
        <v>5718.08</v>
      </c>
      <c r="O66" s="35">
        <v>0</v>
      </c>
      <c r="P66" s="36">
        <f t="shared" si="15"/>
        <v>5718.08</v>
      </c>
      <c r="Q66" s="27" t="s">
        <v>15</v>
      </c>
      <c r="R66" s="27" t="s">
        <v>15</v>
      </c>
      <c r="S66" s="38">
        <v>1796.22</v>
      </c>
      <c r="T66" s="47">
        <v>0</v>
      </c>
      <c r="U66" s="34">
        <f t="shared" si="12"/>
        <v>1796.22</v>
      </c>
      <c r="V66" s="35">
        <v>0</v>
      </c>
      <c r="W66" s="36">
        <f t="shared" si="16"/>
        <v>1796.22</v>
      </c>
    </row>
    <row r="67" spans="1:24" ht="14.45" x14ac:dyDescent="0.3">
      <c r="A67" s="5" t="s">
        <v>137</v>
      </c>
      <c r="B67" s="6" t="s">
        <v>138</v>
      </c>
      <c r="C67" s="27" t="s">
        <v>15</v>
      </c>
      <c r="D67" s="27" t="s">
        <v>15</v>
      </c>
      <c r="E67" s="28">
        <v>171.37</v>
      </c>
      <c r="F67" s="29">
        <v>0</v>
      </c>
      <c r="G67" s="30">
        <f t="shared" si="9"/>
        <v>171.37</v>
      </c>
      <c r="H67" s="31">
        <v>0</v>
      </c>
      <c r="I67" s="27">
        <f t="shared" si="14"/>
        <v>171.37</v>
      </c>
      <c r="J67" s="27" t="s">
        <v>15</v>
      </c>
      <c r="K67" s="27" t="s">
        <v>15</v>
      </c>
      <c r="L67" s="38">
        <v>290.37</v>
      </c>
      <c r="M67" s="47">
        <v>0</v>
      </c>
      <c r="N67" s="34">
        <f t="shared" si="17"/>
        <v>290.37</v>
      </c>
      <c r="O67" s="35">
        <v>0</v>
      </c>
      <c r="P67" s="36">
        <f t="shared" si="15"/>
        <v>290.37</v>
      </c>
      <c r="Q67" s="27" t="s">
        <v>15</v>
      </c>
      <c r="R67" s="27" t="s">
        <v>15</v>
      </c>
      <c r="S67" s="38">
        <v>33.270000000000003</v>
      </c>
      <c r="T67" s="47">
        <v>0</v>
      </c>
      <c r="U67" s="34">
        <f t="shared" si="12"/>
        <v>33.270000000000003</v>
      </c>
      <c r="V67" s="35">
        <v>0</v>
      </c>
      <c r="W67" s="36">
        <f t="shared" si="16"/>
        <v>33.270000000000003</v>
      </c>
    </row>
    <row r="68" spans="1:24" ht="14.45" x14ac:dyDescent="0.3">
      <c r="A68" s="5" t="s">
        <v>139</v>
      </c>
      <c r="B68" s="6" t="s">
        <v>140</v>
      </c>
      <c r="C68" s="27" t="s">
        <v>15</v>
      </c>
      <c r="D68" s="27" t="s">
        <v>15</v>
      </c>
      <c r="E68" s="28">
        <v>406.98</v>
      </c>
      <c r="F68" s="29">
        <v>0</v>
      </c>
      <c r="G68" s="30">
        <f t="shared" si="9"/>
        <v>406.98</v>
      </c>
      <c r="H68" s="31">
        <v>0</v>
      </c>
      <c r="I68" s="27">
        <f t="shared" si="14"/>
        <v>406.98</v>
      </c>
      <c r="J68" s="27" t="s">
        <v>15</v>
      </c>
      <c r="K68" s="27" t="s">
        <v>15</v>
      </c>
      <c r="L68" s="38">
        <v>804.1</v>
      </c>
      <c r="M68" s="47">
        <v>0</v>
      </c>
      <c r="N68" s="34">
        <f t="shared" si="17"/>
        <v>804.1</v>
      </c>
      <c r="O68" s="35">
        <v>0</v>
      </c>
      <c r="P68" s="36">
        <f t="shared" si="15"/>
        <v>804.1</v>
      </c>
      <c r="Q68" s="27" t="s">
        <v>15</v>
      </c>
      <c r="R68" s="27" t="s">
        <v>15</v>
      </c>
      <c r="S68" s="38">
        <v>88.69</v>
      </c>
      <c r="T68" s="47">
        <v>0</v>
      </c>
      <c r="U68" s="34">
        <f t="shared" si="12"/>
        <v>88.69</v>
      </c>
      <c r="V68" s="35">
        <v>0</v>
      </c>
      <c r="W68" s="36">
        <f t="shared" si="16"/>
        <v>88.69</v>
      </c>
    </row>
    <row r="69" spans="1:24" ht="14.45" x14ac:dyDescent="0.3">
      <c r="A69" s="39" t="s">
        <v>141</v>
      </c>
      <c r="B69" s="6" t="s">
        <v>142</v>
      </c>
      <c r="C69" s="27"/>
      <c r="D69" s="27"/>
      <c r="E69" s="28">
        <v>689</v>
      </c>
      <c r="F69" s="29">
        <v>0</v>
      </c>
      <c r="G69" s="30">
        <f t="shared" si="9"/>
        <v>689</v>
      </c>
      <c r="H69" s="31"/>
      <c r="I69" s="27"/>
      <c r="J69" s="27"/>
      <c r="K69" s="27"/>
      <c r="L69" s="38"/>
      <c r="M69" s="47"/>
      <c r="N69" s="34"/>
      <c r="O69" s="35"/>
      <c r="P69" s="36"/>
      <c r="Q69" s="27"/>
      <c r="R69" s="27"/>
      <c r="S69" s="38">
        <v>0</v>
      </c>
      <c r="T69" s="47">
        <v>0</v>
      </c>
      <c r="U69" s="34">
        <f t="shared" si="12"/>
        <v>0</v>
      </c>
      <c r="V69" s="35">
        <v>0</v>
      </c>
      <c r="W69" s="36">
        <f t="shared" si="16"/>
        <v>0</v>
      </c>
    </row>
    <row r="70" spans="1:24" x14ac:dyDescent="0.25">
      <c r="A70" s="5" t="s">
        <v>143</v>
      </c>
      <c r="B70" s="6" t="s">
        <v>144</v>
      </c>
      <c r="C70" s="27" t="s">
        <v>15</v>
      </c>
      <c r="D70" s="27" t="s">
        <v>15</v>
      </c>
      <c r="E70" s="28">
        <v>1762.85</v>
      </c>
      <c r="F70" s="29">
        <v>1088.28</v>
      </c>
      <c r="G70" s="30">
        <f t="shared" si="9"/>
        <v>2851.13</v>
      </c>
      <c r="H70" s="31">
        <v>0</v>
      </c>
      <c r="I70" s="27">
        <f t="shared" si="14"/>
        <v>2851.13</v>
      </c>
      <c r="J70" s="27" t="s">
        <v>15</v>
      </c>
      <c r="K70" s="27" t="s">
        <v>15</v>
      </c>
      <c r="L70" s="38">
        <v>4400</v>
      </c>
      <c r="M70" s="33">
        <v>2000</v>
      </c>
      <c r="N70" s="34">
        <f t="shared" si="17"/>
        <v>6400</v>
      </c>
      <c r="O70" s="35">
        <v>0</v>
      </c>
      <c r="P70" s="36">
        <f t="shared" si="15"/>
        <v>6400</v>
      </c>
      <c r="Q70" s="27" t="s">
        <v>15</v>
      </c>
      <c r="R70" s="27" t="s">
        <v>15</v>
      </c>
      <c r="S70" s="38">
        <v>6354.67</v>
      </c>
      <c r="T70" s="33">
        <v>11024.44</v>
      </c>
      <c r="U70" s="34">
        <f t="shared" si="12"/>
        <v>17379.11</v>
      </c>
      <c r="V70" s="35">
        <v>128.1</v>
      </c>
      <c r="W70" s="36">
        <f t="shared" ref="W70:W106" si="18">U70+V70</f>
        <v>17507.21</v>
      </c>
    </row>
    <row r="71" spans="1:24" x14ac:dyDescent="0.25">
      <c r="A71" s="5" t="s">
        <v>145</v>
      </c>
      <c r="B71" s="49" t="s">
        <v>146</v>
      </c>
      <c r="C71" s="27" t="s">
        <v>15</v>
      </c>
      <c r="D71" s="27" t="s">
        <v>15</v>
      </c>
      <c r="E71" s="28">
        <v>0</v>
      </c>
      <c r="F71" s="29">
        <v>13068.52</v>
      </c>
      <c r="G71" s="30">
        <f t="shared" si="9"/>
        <v>13068.52</v>
      </c>
      <c r="H71" s="31">
        <v>0</v>
      </c>
      <c r="I71" s="27">
        <f t="shared" si="14"/>
        <v>13068.52</v>
      </c>
      <c r="J71" s="27" t="s">
        <v>15</v>
      </c>
      <c r="K71" s="27" t="s">
        <v>15</v>
      </c>
      <c r="L71" s="38">
        <v>0</v>
      </c>
      <c r="M71" s="47">
        <v>3000</v>
      </c>
      <c r="N71" s="34">
        <f t="shared" si="17"/>
        <v>3000</v>
      </c>
      <c r="O71" s="35">
        <v>0</v>
      </c>
      <c r="P71" s="36">
        <f t="shared" si="15"/>
        <v>3000</v>
      </c>
      <c r="Q71" s="27" t="s">
        <v>15</v>
      </c>
      <c r="R71" s="27" t="s">
        <v>15</v>
      </c>
      <c r="S71" s="38">
        <v>321.7</v>
      </c>
      <c r="T71" s="47">
        <v>5554.92</v>
      </c>
      <c r="U71" s="34">
        <f t="shared" si="12"/>
        <v>5876.62</v>
      </c>
      <c r="V71" s="35">
        <v>0</v>
      </c>
      <c r="W71" s="36">
        <f t="shared" si="18"/>
        <v>5876.62</v>
      </c>
    </row>
    <row r="72" spans="1:24" x14ac:dyDescent="0.25">
      <c r="A72" s="5" t="s">
        <v>147</v>
      </c>
      <c r="B72" s="49" t="s">
        <v>148</v>
      </c>
      <c r="C72" s="27" t="s">
        <v>15</v>
      </c>
      <c r="D72" s="27" t="s">
        <v>15</v>
      </c>
      <c r="E72" s="28">
        <f>3980.34+22.2</f>
        <v>4002.54</v>
      </c>
      <c r="F72" s="29">
        <v>1169.7</v>
      </c>
      <c r="G72" s="30">
        <f t="shared" si="9"/>
        <v>5172.24</v>
      </c>
      <c r="H72" s="31">
        <v>38.6</v>
      </c>
      <c r="I72" s="27">
        <f t="shared" si="14"/>
        <v>5210.84</v>
      </c>
      <c r="J72" s="27" t="s">
        <v>15</v>
      </c>
      <c r="K72" s="27" t="s">
        <v>15</v>
      </c>
      <c r="L72" s="38">
        <v>4000</v>
      </c>
      <c r="M72" s="33">
        <v>787.5</v>
      </c>
      <c r="N72" s="34">
        <f t="shared" si="17"/>
        <v>4787.5</v>
      </c>
      <c r="O72" s="35">
        <v>0</v>
      </c>
      <c r="P72" s="36">
        <f t="shared" si="15"/>
        <v>4787.5</v>
      </c>
      <c r="Q72" s="27" t="s">
        <v>15</v>
      </c>
      <c r="R72" s="27" t="s">
        <v>15</v>
      </c>
      <c r="S72" s="38">
        <v>3047.29</v>
      </c>
      <c r="T72" s="33">
        <v>1133.5</v>
      </c>
      <c r="U72" s="34">
        <f t="shared" si="12"/>
        <v>4180.79</v>
      </c>
      <c r="V72" s="35">
        <v>0</v>
      </c>
      <c r="W72" s="36">
        <f t="shared" si="18"/>
        <v>4180.79</v>
      </c>
    </row>
    <row r="73" spans="1:24" ht="14.45" x14ac:dyDescent="0.3">
      <c r="A73" s="39" t="s">
        <v>149</v>
      </c>
      <c r="B73" s="49" t="s">
        <v>150</v>
      </c>
      <c r="C73" s="27" t="s">
        <v>15</v>
      </c>
      <c r="D73" s="27" t="s">
        <v>15</v>
      </c>
      <c r="E73" s="28">
        <v>106.02</v>
      </c>
      <c r="F73" s="29">
        <v>43.31</v>
      </c>
      <c r="G73" s="30">
        <f t="shared" ref="G73:G78" si="19">SUM(E73:F73)</f>
        <v>149.32999999999998</v>
      </c>
      <c r="H73" s="31">
        <v>0</v>
      </c>
      <c r="I73" s="27">
        <f t="shared" si="14"/>
        <v>149.32999999999998</v>
      </c>
      <c r="J73" s="27" t="s">
        <v>15</v>
      </c>
      <c r="K73" s="27" t="s">
        <v>15</v>
      </c>
      <c r="L73" s="38">
        <v>0</v>
      </c>
      <c r="M73" s="47">
        <v>0</v>
      </c>
      <c r="N73" s="34">
        <f t="shared" si="17"/>
        <v>0</v>
      </c>
      <c r="O73" s="35">
        <v>0</v>
      </c>
      <c r="P73" s="36">
        <f t="shared" si="15"/>
        <v>0</v>
      </c>
      <c r="Q73" s="27" t="s">
        <v>15</v>
      </c>
      <c r="R73" s="27" t="s">
        <v>15</v>
      </c>
      <c r="S73" s="38">
        <v>0</v>
      </c>
      <c r="T73" s="47">
        <v>0</v>
      </c>
      <c r="U73" s="34">
        <f t="shared" si="12"/>
        <v>0</v>
      </c>
      <c r="V73" s="35">
        <v>0</v>
      </c>
      <c r="W73" s="36">
        <f t="shared" si="18"/>
        <v>0</v>
      </c>
    </row>
    <row r="74" spans="1:24" x14ac:dyDescent="0.25">
      <c r="A74" s="5" t="s">
        <v>151</v>
      </c>
      <c r="B74" s="6" t="s">
        <v>152</v>
      </c>
      <c r="C74" s="27">
        <v>0.69</v>
      </c>
      <c r="D74" s="27">
        <v>0.31</v>
      </c>
      <c r="E74" s="28">
        <v>178.72</v>
      </c>
      <c r="F74" s="29">
        <v>71.28</v>
      </c>
      <c r="G74" s="30">
        <f t="shared" si="19"/>
        <v>250</v>
      </c>
      <c r="H74" s="31">
        <v>0</v>
      </c>
      <c r="I74" s="27">
        <f t="shared" si="14"/>
        <v>250</v>
      </c>
      <c r="J74" s="27">
        <v>0.69</v>
      </c>
      <c r="K74" s="27">
        <v>0.31</v>
      </c>
      <c r="L74" s="38">
        <v>207</v>
      </c>
      <c r="M74" s="33">
        <v>83.77</v>
      </c>
      <c r="N74" s="34">
        <f t="shared" si="17"/>
        <v>290.77</v>
      </c>
      <c r="O74" s="35">
        <v>0</v>
      </c>
      <c r="P74" s="36">
        <f t="shared" si="15"/>
        <v>290.77</v>
      </c>
      <c r="Q74" s="27">
        <v>0.69</v>
      </c>
      <c r="R74" s="27">
        <v>0.31</v>
      </c>
      <c r="S74" s="38">
        <v>183.72</v>
      </c>
      <c r="T74" s="33">
        <v>146.28</v>
      </c>
      <c r="U74" s="34">
        <f t="shared" si="12"/>
        <v>330</v>
      </c>
      <c r="V74" s="35">
        <v>0</v>
      </c>
      <c r="W74" s="36">
        <f t="shared" si="18"/>
        <v>330</v>
      </c>
    </row>
    <row r="75" spans="1:24" x14ac:dyDescent="0.25">
      <c r="A75" s="5" t="s">
        <v>153</v>
      </c>
      <c r="B75" s="6" t="s">
        <v>154</v>
      </c>
      <c r="C75" s="27">
        <v>0.69</v>
      </c>
      <c r="D75" s="27">
        <v>0.31</v>
      </c>
      <c r="E75" s="28">
        <v>156.81</v>
      </c>
      <c r="F75" s="29">
        <v>70.45</v>
      </c>
      <c r="G75" s="30">
        <f t="shared" si="19"/>
        <v>227.26</v>
      </c>
      <c r="H75" s="31">
        <v>0</v>
      </c>
      <c r="I75" s="27">
        <f t="shared" si="14"/>
        <v>227.26</v>
      </c>
      <c r="J75" s="27">
        <v>0.69</v>
      </c>
      <c r="K75" s="27">
        <v>0.31</v>
      </c>
      <c r="L75" s="38">
        <f>N75*J75</f>
        <v>345</v>
      </c>
      <c r="M75" s="33">
        <f>N75*K75</f>
        <v>155</v>
      </c>
      <c r="N75" s="34">
        <v>500</v>
      </c>
      <c r="O75" s="35">
        <v>0</v>
      </c>
      <c r="P75" s="36">
        <f t="shared" si="15"/>
        <v>500</v>
      </c>
      <c r="Q75" s="27">
        <v>0.69</v>
      </c>
      <c r="R75" s="27">
        <v>0.31</v>
      </c>
      <c r="S75" s="38">
        <v>145.91</v>
      </c>
      <c r="T75" s="33">
        <v>65.540000000000006</v>
      </c>
      <c r="U75" s="34">
        <f t="shared" si="12"/>
        <v>211.45</v>
      </c>
      <c r="V75" s="35">
        <v>0</v>
      </c>
      <c r="W75" s="36">
        <f t="shared" si="18"/>
        <v>211.45</v>
      </c>
    </row>
    <row r="76" spans="1:24" x14ac:dyDescent="0.25">
      <c r="A76" s="5" t="s">
        <v>155</v>
      </c>
      <c r="B76" s="6" t="s">
        <v>156</v>
      </c>
      <c r="C76" s="27">
        <v>0.69</v>
      </c>
      <c r="D76" s="27">
        <v>0.31</v>
      </c>
      <c r="E76" s="28">
        <v>107.79</v>
      </c>
      <c r="F76" s="29">
        <v>48.39</v>
      </c>
      <c r="G76" s="30">
        <f t="shared" si="19"/>
        <v>156.18</v>
      </c>
      <c r="H76" s="31">
        <v>0</v>
      </c>
      <c r="I76" s="27">
        <f t="shared" si="14"/>
        <v>156.18</v>
      </c>
      <c r="J76" s="27">
        <v>0.69</v>
      </c>
      <c r="K76" s="27">
        <v>0.31</v>
      </c>
      <c r="L76" s="38">
        <f>N76*J76</f>
        <v>69</v>
      </c>
      <c r="M76" s="33">
        <f>N76*K76</f>
        <v>31</v>
      </c>
      <c r="N76" s="34">
        <v>100</v>
      </c>
      <c r="O76" s="35">
        <v>0</v>
      </c>
      <c r="P76" s="36">
        <f t="shared" si="15"/>
        <v>100</v>
      </c>
      <c r="Q76" s="27">
        <v>0.69</v>
      </c>
      <c r="R76" s="27">
        <v>0.31</v>
      </c>
      <c r="S76" s="38">
        <v>95.71</v>
      </c>
      <c r="T76" s="33">
        <v>42.94</v>
      </c>
      <c r="U76" s="34">
        <f t="shared" si="12"/>
        <v>138.64999999999998</v>
      </c>
      <c r="V76" s="35">
        <v>0</v>
      </c>
      <c r="W76" s="36">
        <f t="shared" si="18"/>
        <v>138.64999999999998</v>
      </c>
    </row>
    <row r="77" spans="1:24" x14ac:dyDescent="0.25">
      <c r="A77" s="39" t="s">
        <v>157</v>
      </c>
      <c r="B77" s="6" t="s">
        <v>158</v>
      </c>
      <c r="C77" s="27"/>
      <c r="D77" s="27"/>
      <c r="E77" s="28">
        <v>0</v>
      </c>
      <c r="F77" s="29">
        <v>0</v>
      </c>
      <c r="G77" s="30">
        <f t="shared" si="19"/>
        <v>0</v>
      </c>
      <c r="H77" s="31">
        <v>0</v>
      </c>
      <c r="I77" s="27">
        <f t="shared" si="14"/>
        <v>0</v>
      </c>
      <c r="J77" s="27"/>
      <c r="K77" s="27"/>
      <c r="L77" s="38">
        <v>0</v>
      </c>
      <c r="M77" s="47">
        <v>0</v>
      </c>
      <c r="N77" s="34">
        <f>L77+M77</f>
        <v>0</v>
      </c>
      <c r="O77" s="35">
        <v>0</v>
      </c>
      <c r="P77" s="36">
        <f t="shared" si="15"/>
        <v>0</v>
      </c>
      <c r="Q77" s="27"/>
      <c r="R77" s="27"/>
      <c r="S77" s="38">
        <v>0</v>
      </c>
      <c r="T77" s="47">
        <v>0</v>
      </c>
      <c r="U77" s="34">
        <f t="shared" si="12"/>
        <v>0</v>
      </c>
      <c r="V77" s="35">
        <v>0</v>
      </c>
      <c r="W77" s="36">
        <f t="shared" si="18"/>
        <v>0</v>
      </c>
    </row>
    <row r="78" spans="1:24" ht="14.45" x14ac:dyDescent="0.3">
      <c r="A78" s="39" t="s">
        <v>159</v>
      </c>
      <c r="B78" s="6" t="s">
        <v>160</v>
      </c>
      <c r="C78" s="52"/>
      <c r="D78" s="27"/>
      <c r="E78" s="28">
        <v>0</v>
      </c>
      <c r="F78" s="29">
        <v>9.1</v>
      </c>
      <c r="G78" s="30">
        <f t="shared" si="19"/>
        <v>9.1</v>
      </c>
      <c r="H78" s="31">
        <v>0</v>
      </c>
      <c r="I78" s="27">
        <f t="shared" si="14"/>
        <v>9.1</v>
      </c>
      <c r="J78" s="52"/>
      <c r="K78" s="27"/>
      <c r="L78" s="38">
        <v>0</v>
      </c>
      <c r="M78" s="47">
        <v>0</v>
      </c>
      <c r="N78" s="34">
        <f>L78+M78</f>
        <v>0</v>
      </c>
      <c r="O78" s="35">
        <v>0</v>
      </c>
      <c r="P78" s="36">
        <f t="shared" si="15"/>
        <v>0</v>
      </c>
      <c r="Q78" s="52"/>
      <c r="R78" s="27"/>
      <c r="S78" s="38">
        <v>136.1</v>
      </c>
      <c r="T78" s="47">
        <v>0</v>
      </c>
      <c r="U78" s="34">
        <f t="shared" si="12"/>
        <v>136.1</v>
      </c>
      <c r="V78" s="35">
        <v>0</v>
      </c>
      <c r="W78" s="36">
        <f t="shared" si="18"/>
        <v>136.1</v>
      </c>
    </row>
    <row r="79" spans="1:24" ht="14.45" x14ac:dyDescent="0.3">
      <c r="A79" s="9" t="s">
        <v>161</v>
      </c>
      <c r="B79" s="10" t="s">
        <v>162</v>
      </c>
      <c r="C79" s="11"/>
      <c r="D79" s="12"/>
      <c r="E79" s="53">
        <f>E81</f>
        <v>19630.98</v>
      </c>
      <c r="F79" s="54">
        <f>F81</f>
        <v>6707.4</v>
      </c>
      <c r="G79" s="55">
        <f>G81</f>
        <v>26338.379999999997</v>
      </c>
      <c r="H79" s="56">
        <f>H81</f>
        <v>1174.05</v>
      </c>
      <c r="I79" s="17">
        <f t="shared" si="14"/>
        <v>27512.429999999997</v>
      </c>
      <c r="J79" s="18"/>
      <c r="K79" s="19"/>
      <c r="L79" s="57">
        <f>L81</f>
        <v>22538</v>
      </c>
      <c r="M79" s="58">
        <f>M81</f>
        <v>5520</v>
      </c>
      <c r="N79" s="59">
        <f>N81</f>
        <v>28058</v>
      </c>
      <c r="O79" s="60">
        <f>O81</f>
        <v>0</v>
      </c>
      <c r="P79" s="24">
        <f t="shared" si="15"/>
        <v>28058</v>
      </c>
      <c r="Q79" s="18"/>
      <c r="R79" s="19"/>
      <c r="S79" s="57">
        <f>S81</f>
        <v>20737.439999999999</v>
      </c>
      <c r="T79" s="58">
        <f>T81</f>
        <v>6389.11</v>
      </c>
      <c r="U79" s="59">
        <f>U81</f>
        <v>27126.55</v>
      </c>
      <c r="V79" s="60">
        <f>V81</f>
        <v>0</v>
      </c>
      <c r="W79" s="24">
        <f t="shared" si="18"/>
        <v>27126.55</v>
      </c>
      <c r="X79" s="282">
        <f>T81</f>
        <v>6389.11</v>
      </c>
    </row>
    <row r="80" spans="1:24" x14ac:dyDescent="0.25">
      <c r="A80" s="61" t="s">
        <v>163</v>
      </c>
      <c r="B80" s="62" t="s">
        <v>164</v>
      </c>
      <c r="C80" s="63"/>
      <c r="D80" s="64"/>
      <c r="E80" s="28">
        <v>0</v>
      </c>
      <c r="F80" s="65">
        <v>0</v>
      </c>
      <c r="G80" s="30">
        <f t="shared" ref="G80:G93" si="20">SUM(E80:F80)</f>
        <v>0</v>
      </c>
      <c r="H80" s="66">
        <v>0</v>
      </c>
      <c r="I80" s="27">
        <f t="shared" si="14"/>
        <v>0</v>
      </c>
      <c r="J80" s="63"/>
      <c r="K80" s="64"/>
      <c r="L80" s="38">
        <v>0</v>
      </c>
      <c r="M80" s="47">
        <v>0</v>
      </c>
      <c r="N80" s="67">
        <f>L80+M80</f>
        <v>0</v>
      </c>
      <c r="O80" s="68">
        <v>0</v>
      </c>
      <c r="P80" s="36">
        <f t="shared" si="15"/>
        <v>0</v>
      </c>
      <c r="Q80" s="63"/>
      <c r="R80" s="64"/>
      <c r="S80" s="38">
        <v>0</v>
      </c>
      <c r="T80" s="47">
        <v>0</v>
      </c>
      <c r="U80" s="67">
        <f>S80+T80</f>
        <v>0</v>
      </c>
      <c r="V80" s="68">
        <v>0</v>
      </c>
      <c r="W80" s="36">
        <f t="shared" si="18"/>
        <v>0</v>
      </c>
    </row>
    <row r="81" spans="1:23" ht="14.45" x14ac:dyDescent="0.3">
      <c r="A81" s="5" t="s">
        <v>165</v>
      </c>
      <c r="B81" s="49" t="s">
        <v>166</v>
      </c>
      <c r="C81" s="52" t="s">
        <v>15</v>
      </c>
      <c r="D81" s="27" t="s">
        <v>15</v>
      </c>
      <c r="E81" s="28">
        <v>19630.98</v>
      </c>
      <c r="F81" s="29">
        <v>6707.4</v>
      </c>
      <c r="G81" s="30">
        <f t="shared" si="20"/>
        <v>26338.379999999997</v>
      </c>
      <c r="H81" s="31">
        <v>1174.05</v>
      </c>
      <c r="I81" s="27">
        <f t="shared" si="14"/>
        <v>27512.429999999997</v>
      </c>
      <c r="J81" s="52" t="s">
        <v>15</v>
      </c>
      <c r="K81" s="27" t="s">
        <v>15</v>
      </c>
      <c r="L81" s="38">
        <v>22538</v>
      </c>
      <c r="M81" s="47">
        <v>5520</v>
      </c>
      <c r="N81" s="34">
        <f>L81+M81</f>
        <v>28058</v>
      </c>
      <c r="O81" s="35">
        <v>0</v>
      </c>
      <c r="P81" s="36">
        <f t="shared" si="15"/>
        <v>28058</v>
      </c>
      <c r="Q81" s="52" t="s">
        <v>15</v>
      </c>
      <c r="R81" s="27" t="s">
        <v>15</v>
      </c>
      <c r="S81" s="38">
        <v>20737.439999999999</v>
      </c>
      <c r="T81" s="47">
        <v>6389.11</v>
      </c>
      <c r="U81" s="34">
        <f>S81+T81</f>
        <v>27126.55</v>
      </c>
      <c r="V81" s="35">
        <v>0</v>
      </c>
      <c r="W81" s="36">
        <f t="shared" si="18"/>
        <v>27126.55</v>
      </c>
    </row>
    <row r="82" spans="1:23" x14ac:dyDescent="0.25">
      <c r="A82" s="9" t="s">
        <v>167</v>
      </c>
      <c r="B82" s="10" t="s">
        <v>168</v>
      </c>
      <c r="C82" s="11"/>
      <c r="D82" s="12"/>
      <c r="E82" s="13">
        <f>SUM(E83:E93)</f>
        <v>1238357.3999999999</v>
      </c>
      <c r="F82" s="14">
        <f>SUM(F83:F93)</f>
        <v>440627.15</v>
      </c>
      <c r="G82" s="15">
        <f>SUM(G83:G93)</f>
        <v>1678984.55</v>
      </c>
      <c r="H82" s="16">
        <f>SUM(H83:H93)</f>
        <v>26085.859999999997</v>
      </c>
      <c r="I82" s="17">
        <f t="shared" si="14"/>
        <v>1705070.4100000001</v>
      </c>
      <c r="J82" s="18"/>
      <c r="K82" s="19"/>
      <c r="L82" s="20">
        <f>SUM(L83:L93)</f>
        <v>1184416.3150000002</v>
      </c>
      <c r="M82" s="21">
        <f>SUM(M83:M93)</f>
        <v>456990.28622000001</v>
      </c>
      <c r="N82" s="22">
        <f>SUM(N83:N93)</f>
        <v>1641406.6012200001</v>
      </c>
      <c r="O82" s="23">
        <f>SUM(O83:O93)</f>
        <v>26707.040000000001</v>
      </c>
      <c r="P82" s="24">
        <f t="shared" si="15"/>
        <v>1668113.6412200001</v>
      </c>
      <c r="Q82" s="18"/>
      <c r="R82" s="19"/>
      <c r="S82" s="20">
        <f>SUM(S83:S93)</f>
        <v>1206253.5499999998</v>
      </c>
      <c r="T82" s="21">
        <f>SUM(T83:T93)</f>
        <v>413158</v>
      </c>
      <c r="U82" s="22">
        <f>SUM(U83:U93)</f>
        <v>1619411.55</v>
      </c>
      <c r="V82" s="23">
        <f>SUM(V83:V93)</f>
        <v>26055.05</v>
      </c>
      <c r="W82" s="24">
        <f t="shared" si="18"/>
        <v>1645466.6</v>
      </c>
    </row>
    <row r="83" spans="1:23" x14ac:dyDescent="0.25">
      <c r="A83" s="5" t="s">
        <v>169</v>
      </c>
      <c r="B83" s="6" t="s">
        <v>170</v>
      </c>
      <c r="C83" s="52" t="s">
        <v>15</v>
      </c>
      <c r="D83" s="27" t="s">
        <v>15</v>
      </c>
      <c r="E83" s="28">
        <f>948250.56+8728.25</f>
        <v>956978.81</v>
      </c>
      <c r="F83" s="29">
        <v>332641.46000000002</v>
      </c>
      <c r="G83" s="30">
        <f t="shared" si="20"/>
        <v>1289620.27</v>
      </c>
      <c r="H83" s="31">
        <v>19669.98</v>
      </c>
      <c r="I83" s="27">
        <f t="shared" si="14"/>
        <v>1309290.25</v>
      </c>
      <c r="J83" s="52" t="s">
        <v>15</v>
      </c>
      <c r="K83" s="27" t="s">
        <v>15</v>
      </c>
      <c r="L83" s="38">
        <v>955315</v>
      </c>
      <c r="M83" s="47">
        <f>269038.12+87774.9</f>
        <v>356813.02</v>
      </c>
      <c r="N83" s="67">
        <f t="shared" ref="N83:N93" si="21">L83+M83</f>
        <v>1312128.02</v>
      </c>
      <c r="O83" s="35">
        <v>20000</v>
      </c>
      <c r="P83" s="36">
        <f t="shared" si="15"/>
        <v>1332128.02</v>
      </c>
      <c r="Q83" s="52" t="s">
        <v>15</v>
      </c>
      <c r="R83" s="27" t="s">
        <v>15</v>
      </c>
      <c r="S83" s="38">
        <f>939739.75+7477.63+8177.19</f>
        <v>955394.57</v>
      </c>
      <c r="T83" s="47">
        <v>317057.7</v>
      </c>
      <c r="U83" s="67">
        <f t="shared" ref="U83:U93" si="22">S83+T83</f>
        <v>1272452.27</v>
      </c>
      <c r="V83" s="35">
        <v>19905.95</v>
      </c>
      <c r="W83" s="36">
        <f t="shared" si="18"/>
        <v>1292358.22</v>
      </c>
    </row>
    <row r="84" spans="1:23" ht="14.45" x14ac:dyDescent="0.3">
      <c r="A84" s="5" t="s">
        <v>171</v>
      </c>
      <c r="B84" s="6" t="s">
        <v>172</v>
      </c>
      <c r="C84" s="52" t="s">
        <v>15</v>
      </c>
      <c r="D84" s="27" t="s">
        <v>15</v>
      </c>
      <c r="E84" s="28">
        <f>154665.57+1412.49</f>
        <v>156078.06</v>
      </c>
      <c r="F84" s="29">
        <v>54728.97</v>
      </c>
      <c r="G84" s="30">
        <f t="shared" si="20"/>
        <v>210807.03</v>
      </c>
      <c r="H84" s="31">
        <v>3166.87</v>
      </c>
      <c r="I84" s="27">
        <f t="shared" si="14"/>
        <v>213973.9</v>
      </c>
      <c r="J84" s="52" t="s">
        <v>15</v>
      </c>
      <c r="K84" s="27" t="s">
        <v>15</v>
      </c>
      <c r="L84" s="38">
        <f>L83*0.161</f>
        <v>153805.715</v>
      </c>
      <c r="M84" s="47">
        <f>(M83*0.161)+51.12</f>
        <v>57498.016220000005</v>
      </c>
      <c r="N84" s="67">
        <f t="shared" si="21"/>
        <v>211303.73122000002</v>
      </c>
      <c r="O84" s="69">
        <v>3220</v>
      </c>
      <c r="P84" s="36">
        <f t="shared" si="15"/>
        <v>214523.73122000002</v>
      </c>
      <c r="Q84" s="52" t="s">
        <v>15</v>
      </c>
      <c r="R84" s="27" t="s">
        <v>15</v>
      </c>
      <c r="S84" s="38">
        <f>152715.72+1303.48+1473.51</f>
        <v>155492.71000000002</v>
      </c>
      <c r="T84" s="47">
        <v>51740.33</v>
      </c>
      <c r="U84" s="67">
        <f t="shared" si="22"/>
        <v>207233.04000000004</v>
      </c>
      <c r="V84" s="69">
        <v>3204.86</v>
      </c>
      <c r="W84" s="36">
        <f t="shared" si="18"/>
        <v>210437.90000000002</v>
      </c>
    </row>
    <row r="85" spans="1:23" ht="14.45" x14ac:dyDescent="0.3">
      <c r="A85" s="5" t="s">
        <v>173</v>
      </c>
      <c r="B85" s="6" t="s">
        <v>174</v>
      </c>
      <c r="C85" s="52" t="s">
        <v>15</v>
      </c>
      <c r="D85" s="27" t="s">
        <v>15</v>
      </c>
      <c r="E85" s="28">
        <v>7232.91</v>
      </c>
      <c r="F85" s="29">
        <v>6542.25</v>
      </c>
      <c r="G85" s="30">
        <f t="shared" si="20"/>
        <v>13775.16</v>
      </c>
      <c r="H85" s="31">
        <v>0</v>
      </c>
      <c r="I85" s="27">
        <f t="shared" si="14"/>
        <v>13775.16</v>
      </c>
      <c r="J85" s="52" t="s">
        <v>15</v>
      </c>
      <c r="K85" s="27" t="s">
        <v>15</v>
      </c>
      <c r="L85" s="38">
        <v>0</v>
      </c>
      <c r="M85" s="47">
        <v>0</v>
      </c>
      <c r="N85" s="67">
        <f t="shared" si="21"/>
        <v>0</v>
      </c>
      <c r="O85" s="35">
        <v>0</v>
      </c>
      <c r="P85" s="36">
        <f t="shared" si="15"/>
        <v>0</v>
      </c>
      <c r="Q85" s="52" t="s">
        <v>15</v>
      </c>
      <c r="R85" s="27" t="s">
        <v>15</v>
      </c>
      <c r="S85" s="38">
        <f>8965.8+849.95</f>
        <v>9815.75</v>
      </c>
      <c r="T85" s="47">
        <v>3197.56</v>
      </c>
      <c r="U85" s="67">
        <f t="shared" si="22"/>
        <v>13013.31</v>
      </c>
      <c r="V85" s="35">
        <v>0</v>
      </c>
      <c r="W85" s="36">
        <f t="shared" si="18"/>
        <v>13013.31</v>
      </c>
    </row>
    <row r="86" spans="1:23" x14ac:dyDescent="0.25">
      <c r="A86" s="5" t="s">
        <v>175</v>
      </c>
      <c r="B86" s="6" t="s">
        <v>176</v>
      </c>
      <c r="C86" s="52" t="s">
        <v>15</v>
      </c>
      <c r="D86" s="27" t="s">
        <v>15</v>
      </c>
      <c r="E86" s="28">
        <f>24347.11+488.3</f>
        <v>24835.41</v>
      </c>
      <c r="F86" s="29">
        <v>8570.41</v>
      </c>
      <c r="G86" s="30">
        <f t="shared" si="20"/>
        <v>33405.82</v>
      </c>
      <c r="H86" s="31">
        <v>161.16</v>
      </c>
      <c r="I86" s="27">
        <f t="shared" si="14"/>
        <v>33566.980000000003</v>
      </c>
      <c r="J86" s="52" t="s">
        <v>15</v>
      </c>
      <c r="K86" s="27" t="s">
        <v>15</v>
      </c>
      <c r="L86" s="38">
        <v>21800</v>
      </c>
      <c r="M86" s="47">
        <f>7855.41+1763.7</f>
        <v>9619.11</v>
      </c>
      <c r="N86" s="67">
        <f t="shared" si="21"/>
        <v>31419.11</v>
      </c>
      <c r="O86" s="35">
        <v>220</v>
      </c>
      <c r="P86" s="36">
        <f t="shared" si="15"/>
        <v>31639.11</v>
      </c>
      <c r="Q86" s="52" t="s">
        <v>15</v>
      </c>
      <c r="R86" s="27" t="s">
        <v>15</v>
      </c>
      <c r="S86" s="38">
        <f>24123.77+33.16+548.57</f>
        <v>24705.5</v>
      </c>
      <c r="T86" s="47">
        <v>8196.15</v>
      </c>
      <c r="U86" s="67">
        <f t="shared" si="22"/>
        <v>32901.65</v>
      </c>
      <c r="V86" s="35">
        <v>226.56</v>
      </c>
      <c r="W86" s="36">
        <f t="shared" si="18"/>
        <v>33128.21</v>
      </c>
    </row>
    <row r="87" spans="1:23" x14ac:dyDescent="0.25">
      <c r="A87" s="5" t="s">
        <v>177</v>
      </c>
      <c r="B87" s="6" t="s">
        <v>178</v>
      </c>
      <c r="C87" s="52" t="s">
        <v>15</v>
      </c>
      <c r="D87" s="27" t="s">
        <v>15</v>
      </c>
      <c r="E87" s="28">
        <f>33373.95+352.75</f>
        <v>33726.699999999997</v>
      </c>
      <c r="F87" s="29">
        <v>15093.28</v>
      </c>
      <c r="G87" s="30">
        <f t="shared" si="20"/>
        <v>48819.979999999996</v>
      </c>
      <c r="H87" s="31">
        <v>1598.28</v>
      </c>
      <c r="I87" s="27">
        <f t="shared" si="14"/>
        <v>50418.259999999995</v>
      </c>
      <c r="J87" s="52" t="s">
        <v>15</v>
      </c>
      <c r="K87" s="27" t="s">
        <v>15</v>
      </c>
      <c r="L87" s="38">
        <v>30450</v>
      </c>
      <c r="M87" s="47">
        <f>12918.4+3358.78</f>
        <v>16277.18</v>
      </c>
      <c r="N87" s="67">
        <f t="shared" si="21"/>
        <v>46727.18</v>
      </c>
      <c r="O87" s="35">
        <v>1600</v>
      </c>
      <c r="P87" s="36">
        <f t="shared" si="15"/>
        <v>48327.18</v>
      </c>
      <c r="Q87" s="52" t="s">
        <v>15</v>
      </c>
      <c r="R87" s="27" t="s">
        <v>15</v>
      </c>
      <c r="S87" s="38">
        <f>33176.59+393.53+399.04</f>
        <v>33969.159999999996</v>
      </c>
      <c r="T87" s="47">
        <v>15240.99</v>
      </c>
      <c r="U87" s="67">
        <f t="shared" si="22"/>
        <v>49210.149999999994</v>
      </c>
      <c r="V87" s="35">
        <v>1503.66</v>
      </c>
      <c r="W87" s="36">
        <f t="shared" si="18"/>
        <v>50713.81</v>
      </c>
    </row>
    <row r="88" spans="1:23" x14ac:dyDescent="0.25">
      <c r="A88" s="5" t="s">
        <v>179</v>
      </c>
      <c r="B88" s="6" t="s">
        <v>180</v>
      </c>
      <c r="C88" s="52" t="s">
        <v>15</v>
      </c>
      <c r="D88" s="27" t="s">
        <v>15</v>
      </c>
      <c r="E88" s="28">
        <f>9692.2+85.71</f>
        <v>9777.91</v>
      </c>
      <c r="F88" s="29">
        <v>4519.3500000000004</v>
      </c>
      <c r="G88" s="30">
        <f t="shared" si="20"/>
        <v>14297.26</v>
      </c>
      <c r="H88" s="31">
        <v>278.57</v>
      </c>
      <c r="I88" s="27">
        <f t="shared" si="14"/>
        <v>14575.83</v>
      </c>
      <c r="J88" s="52" t="s">
        <v>15</v>
      </c>
      <c r="K88" s="27" t="s">
        <v>15</v>
      </c>
      <c r="L88" s="38">
        <v>4500</v>
      </c>
      <c r="M88" s="47">
        <f>1568.31+388.25</f>
        <v>1956.56</v>
      </c>
      <c r="N88" s="67">
        <f t="shared" si="21"/>
        <v>6456.5599999999995</v>
      </c>
      <c r="O88" s="35">
        <v>200</v>
      </c>
      <c r="P88" s="36">
        <f t="shared" si="15"/>
        <v>6656.5599999999995</v>
      </c>
      <c r="Q88" s="52" t="s">
        <v>15</v>
      </c>
      <c r="R88" s="27" t="s">
        <v>15</v>
      </c>
      <c r="S88" s="38">
        <f>4841.53+79.91+40.2</f>
        <v>4961.6399999999994</v>
      </c>
      <c r="T88" s="47">
        <v>2149.67</v>
      </c>
      <c r="U88" s="67">
        <f t="shared" si="22"/>
        <v>7111.3099999999995</v>
      </c>
      <c r="V88" s="35">
        <v>141.41999999999999</v>
      </c>
      <c r="W88" s="36">
        <f t="shared" si="18"/>
        <v>7252.73</v>
      </c>
    </row>
    <row r="89" spans="1:23" ht="14.45" x14ac:dyDescent="0.3">
      <c r="A89" s="5" t="s">
        <v>181</v>
      </c>
      <c r="B89" s="6" t="s">
        <v>182</v>
      </c>
      <c r="C89" s="52" t="s">
        <v>15</v>
      </c>
      <c r="D89" s="27" t="s">
        <v>15</v>
      </c>
      <c r="E89" s="28">
        <f>18949.27+242.2</f>
        <v>19191.47</v>
      </c>
      <c r="F89" s="29">
        <v>11446.85</v>
      </c>
      <c r="G89" s="30">
        <f t="shared" si="20"/>
        <v>30638.32</v>
      </c>
      <c r="H89" s="31">
        <v>1176.4000000000001</v>
      </c>
      <c r="I89" s="27">
        <f t="shared" si="14"/>
        <v>31814.720000000001</v>
      </c>
      <c r="J89" s="52" t="s">
        <v>15</v>
      </c>
      <c r="K89" s="27" t="s">
        <v>15</v>
      </c>
      <c r="L89" s="38">
        <v>18545.599999999999</v>
      </c>
      <c r="M89" s="47">
        <f>7058.4+2768</f>
        <v>9826.4</v>
      </c>
      <c r="N89" s="67">
        <f t="shared" si="21"/>
        <v>28372</v>
      </c>
      <c r="O89" s="35">
        <v>1467.04</v>
      </c>
      <c r="P89" s="36">
        <f t="shared" si="15"/>
        <v>29839.040000000001</v>
      </c>
      <c r="Q89" s="52" t="s">
        <v>15</v>
      </c>
      <c r="R89" s="27" t="s">
        <v>15</v>
      </c>
      <c r="S89" s="38">
        <f>18926.34+266.42+322.93</f>
        <v>19515.689999999999</v>
      </c>
      <c r="T89" s="47">
        <v>10211.61</v>
      </c>
      <c r="U89" s="67">
        <f t="shared" si="22"/>
        <v>29727.3</v>
      </c>
      <c r="V89" s="35">
        <v>1072.5999999999999</v>
      </c>
      <c r="W89" s="36">
        <f t="shared" si="18"/>
        <v>30799.899999999998</v>
      </c>
    </row>
    <row r="90" spans="1:23" ht="14.45" x14ac:dyDescent="0.3">
      <c r="A90" s="5" t="s">
        <v>183</v>
      </c>
      <c r="B90" s="6" t="s">
        <v>184</v>
      </c>
      <c r="C90" s="52" t="s">
        <v>15</v>
      </c>
      <c r="D90" s="27" t="s">
        <v>15</v>
      </c>
      <c r="E90" s="28">
        <v>1039.52</v>
      </c>
      <c r="F90" s="29">
        <v>288.76</v>
      </c>
      <c r="G90" s="30">
        <f t="shared" si="20"/>
        <v>1328.28</v>
      </c>
      <c r="H90" s="31">
        <v>0</v>
      </c>
      <c r="I90" s="27">
        <f t="shared" si="14"/>
        <v>1328.28</v>
      </c>
      <c r="J90" s="52" t="s">
        <v>15</v>
      </c>
      <c r="K90" s="27" t="s">
        <v>15</v>
      </c>
      <c r="L90" s="38">
        <v>0</v>
      </c>
      <c r="M90" s="47">
        <v>0</v>
      </c>
      <c r="N90" s="67">
        <f t="shared" si="21"/>
        <v>0</v>
      </c>
      <c r="O90" s="35">
        <v>0</v>
      </c>
      <c r="P90" s="36">
        <f t="shared" si="15"/>
        <v>0</v>
      </c>
      <c r="Q90" s="52" t="s">
        <v>15</v>
      </c>
      <c r="R90" s="27" t="s">
        <v>15</v>
      </c>
      <c r="S90" s="38">
        <v>2220.0700000000002</v>
      </c>
      <c r="T90" s="47">
        <v>32.229999999999997</v>
      </c>
      <c r="U90" s="67">
        <f t="shared" si="22"/>
        <v>2252.3000000000002</v>
      </c>
      <c r="V90" s="35">
        <v>0</v>
      </c>
      <c r="W90" s="36">
        <f t="shared" si="18"/>
        <v>2252.3000000000002</v>
      </c>
    </row>
    <row r="91" spans="1:23" ht="14.45" x14ac:dyDescent="0.3">
      <c r="A91" s="39" t="s">
        <v>185</v>
      </c>
      <c r="B91" s="6" t="s">
        <v>186</v>
      </c>
      <c r="C91" s="52" t="s">
        <v>15</v>
      </c>
      <c r="D91" s="27" t="s">
        <v>15</v>
      </c>
      <c r="E91" s="28">
        <v>9038.0400000000009</v>
      </c>
      <c r="F91" s="29">
        <v>0</v>
      </c>
      <c r="G91" s="30">
        <f t="shared" si="20"/>
        <v>9038.0400000000009</v>
      </c>
      <c r="H91" s="31">
        <v>0</v>
      </c>
      <c r="I91" s="27">
        <f t="shared" si="14"/>
        <v>9038.0400000000009</v>
      </c>
      <c r="J91" s="52" t="s">
        <v>15</v>
      </c>
      <c r="K91" s="27" t="s">
        <v>15</v>
      </c>
      <c r="L91" s="38">
        <v>0</v>
      </c>
      <c r="M91" s="47">
        <v>5000</v>
      </c>
      <c r="N91" s="67">
        <f t="shared" si="21"/>
        <v>5000</v>
      </c>
      <c r="O91" s="35">
        <v>0</v>
      </c>
      <c r="P91" s="36">
        <f t="shared" si="15"/>
        <v>5000</v>
      </c>
      <c r="Q91" s="52" t="s">
        <v>15</v>
      </c>
      <c r="R91" s="27" t="s">
        <v>15</v>
      </c>
      <c r="S91" s="38">
        <v>178.46</v>
      </c>
      <c r="T91" s="47">
        <v>4638.75</v>
      </c>
      <c r="U91" s="67">
        <f t="shared" si="22"/>
        <v>4817.21</v>
      </c>
      <c r="V91" s="35">
        <v>0</v>
      </c>
      <c r="W91" s="36">
        <f t="shared" si="18"/>
        <v>4817.21</v>
      </c>
    </row>
    <row r="92" spans="1:23" x14ac:dyDescent="0.25">
      <c r="A92" s="5" t="s">
        <v>187</v>
      </c>
      <c r="B92" s="6" t="s">
        <v>188</v>
      </c>
      <c r="C92" s="52" t="s">
        <v>15</v>
      </c>
      <c r="D92" s="27" t="s">
        <v>15</v>
      </c>
      <c r="E92" s="28">
        <v>0</v>
      </c>
      <c r="F92" s="29">
        <v>693</v>
      </c>
      <c r="G92" s="30">
        <f t="shared" si="20"/>
        <v>693</v>
      </c>
      <c r="H92" s="31">
        <v>0</v>
      </c>
      <c r="I92" s="27">
        <f t="shared" si="14"/>
        <v>693</v>
      </c>
      <c r="J92" s="52" t="s">
        <v>15</v>
      </c>
      <c r="K92" s="27" t="s">
        <v>15</v>
      </c>
      <c r="L92" s="38">
        <v>0</v>
      </c>
      <c r="M92" s="47">
        <v>0</v>
      </c>
      <c r="N92" s="67">
        <f t="shared" si="21"/>
        <v>0</v>
      </c>
      <c r="O92" s="35">
        <v>0</v>
      </c>
      <c r="P92" s="36">
        <f t="shared" si="15"/>
        <v>0</v>
      </c>
      <c r="Q92" s="52" t="s">
        <v>15</v>
      </c>
      <c r="R92" s="27" t="s">
        <v>15</v>
      </c>
      <c r="S92" s="38">
        <v>0</v>
      </c>
      <c r="T92" s="47">
        <v>693.01</v>
      </c>
      <c r="U92" s="67">
        <f t="shared" si="22"/>
        <v>693.01</v>
      </c>
      <c r="V92" s="35">
        <v>0</v>
      </c>
      <c r="W92" s="36">
        <f t="shared" si="18"/>
        <v>693.01</v>
      </c>
    </row>
    <row r="93" spans="1:23" x14ac:dyDescent="0.25">
      <c r="A93" s="5" t="s">
        <v>189</v>
      </c>
      <c r="B93" s="6" t="s">
        <v>190</v>
      </c>
      <c r="C93" s="52" t="s">
        <v>15</v>
      </c>
      <c r="D93" s="27" t="s">
        <v>15</v>
      </c>
      <c r="E93" s="28">
        <f>20276.92+181.65</f>
        <v>20458.57</v>
      </c>
      <c r="F93" s="29">
        <v>6102.82</v>
      </c>
      <c r="G93" s="30">
        <f t="shared" si="20"/>
        <v>26561.39</v>
      </c>
      <c r="H93" s="31">
        <v>34.6</v>
      </c>
      <c r="I93" s="27">
        <f t="shared" si="14"/>
        <v>26595.989999999998</v>
      </c>
      <c r="J93" s="52" t="s">
        <v>15</v>
      </c>
      <c r="K93" s="27" t="s">
        <v>15</v>
      </c>
      <c r="L93" s="38">
        <v>0</v>
      </c>
      <c r="M93" s="47">
        <v>0</v>
      </c>
      <c r="N93" s="67">
        <f t="shared" si="21"/>
        <v>0</v>
      </c>
      <c r="O93" s="35">
        <v>0</v>
      </c>
      <c r="P93" s="36">
        <f t="shared" si="15"/>
        <v>0</v>
      </c>
      <c r="Q93" s="52" t="s">
        <v>15</v>
      </c>
      <c r="R93" s="27" t="s">
        <v>15</v>
      </c>
      <c r="S93" s="38">
        <v>0</v>
      </c>
      <c r="T93" s="47">
        <v>0</v>
      </c>
      <c r="U93" s="67">
        <f t="shared" si="22"/>
        <v>0</v>
      </c>
      <c r="V93" s="35">
        <v>0</v>
      </c>
      <c r="W93" s="36">
        <f t="shared" si="18"/>
        <v>0</v>
      </c>
    </row>
    <row r="94" spans="1:23" x14ac:dyDescent="0.25">
      <c r="A94" s="9" t="s">
        <v>191</v>
      </c>
      <c r="B94" s="10" t="s">
        <v>192</v>
      </c>
      <c r="C94" s="70"/>
      <c r="D94" s="71"/>
      <c r="E94" s="72">
        <f>SUM(E95:E98)</f>
        <v>2920.08</v>
      </c>
      <c r="F94" s="73">
        <f>SUM(F95:F98)</f>
        <v>3940.64</v>
      </c>
      <c r="G94" s="74">
        <f>SUM(G95:G98)</f>
        <v>6860.7199999999993</v>
      </c>
      <c r="H94" s="75">
        <f>SUM(H95:H98)</f>
        <v>0</v>
      </c>
      <c r="I94" s="17">
        <f t="shared" si="14"/>
        <v>6860.7199999999993</v>
      </c>
      <c r="J94" s="76"/>
      <c r="K94" s="74"/>
      <c r="L94" s="77">
        <f>SUM(L95:L98)</f>
        <v>1108.9100000000001</v>
      </c>
      <c r="M94" s="78">
        <f>SUM(M95:M98)</f>
        <v>560.27</v>
      </c>
      <c r="N94" s="79">
        <f>SUM(N95:N98)</f>
        <v>1669.18</v>
      </c>
      <c r="O94" s="80">
        <f>SUM(O95:O98)</f>
        <v>0</v>
      </c>
      <c r="P94" s="24">
        <f t="shared" si="15"/>
        <v>1669.18</v>
      </c>
      <c r="Q94" s="76"/>
      <c r="R94" s="74"/>
      <c r="S94" s="77">
        <f>SUM(S95:S98)</f>
        <v>522.83000000000004</v>
      </c>
      <c r="T94" s="78">
        <f>SUM(T95:T98)</f>
        <v>1498.35</v>
      </c>
      <c r="U94" s="79">
        <f>SUM(U95:U98)</f>
        <v>2021.1799999999998</v>
      </c>
      <c r="V94" s="80">
        <f>SUM(V95:V98)</f>
        <v>0</v>
      </c>
      <c r="W94" s="24">
        <f t="shared" si="18"/>
        <v>2021.1799999999998</v>
      </c>
    </row>
    <row r="95" spans="1:23" ht="14.45" x14ac:dyDescent="0.3">
      <c r="A95" s="39" t="s">
        <v>193</v>
      </c>
      <c r="B95" s="62" t="s">
        <v>194</v>
      </c>
      <c r="C95" s="52" t="s">
        <v>15</v>
      </c>
      <c r="D95" s="27" t="s">
        <v>15</v>
      </c>
      <c r="E95" s="81">
        <v>0</v>
      </c>
      <c r="F95" s="29">
        <v>0</v>
      </c>
      <c r="G95" s="30">
        <f t="shared" ref="G95:G98" si="23">SUM(E95:F95)</f>
        <v>0</v>
      </c>
      <c r="H95" s="82">
        <v>0</v>
      </c>
      <c r="I95" s="27">
        <f t="shared" si="14"/>
        <v>0</v>
      </c>
      <c r="J95" s="52" t="s">
        <v>15</v>
      </c>
      <c r="K95" s="27" t="s">
        <v>15</v>
      </c>
      <c r="L95" s="38">
        <v>0</v>
      </c>
      <c r="M95" s="47">
        <v>0</v>
      </c>
      <c r="N95" s="67">
        <f>L95+M95</f>
        <v>0</v>
      </c>
      <c r="O95" s="35">
        <v>0</v>
      </c>
      <c r="P95" s="36">
        <f t="shared" si="15"/>
        <v>0</v>
      </c>
      <c r="Q95" s="52" t="s">
        <v>15</v>
      </c>
      <c r="R95" s="27" t="s">
        <v>15</v>
      </c>
      <c r="S95" s="38">
        <v>0</v>
      </c>
      <c r="T95" s="47">
        <v>0</v>
      </c>
      <c r="U95" s="67">
        <f>S95+T95</f>
        <v>0</v>
      </c>
      <c r="V95" s="35">
        <v>0</v>
      </c>
      <c r="W95" s="36">
        <f t="shared" si="18"/>
        <v>0</v>
      </c>
    </row>
    <row r="96" spans="1:23" ht="14.45" x14ac:dyDescent="0.3">
      <c r="A96" s="39" t="s">
        <v>195</v>
      </c>
      <c r="B96" s="62" t="s">
        <v>196</v>
      </c>
      <c r="C96" s="52" t="s">
        <v>15</v>
      </c>
      <c r="D96" s="27" t="s">
        <v>15</v>
      </c>
      <c r="E96" s="81">
        <v>184</v>
      </c>
      <c r="F96" s="29">
        <v>0</v>
      </c>
      <c r="G96" s="30">
        <f t="shared" si="23"/>
        <v>184</v>
      </c>
      <c r="H96" s="82">
        <v>0</v>
      </c>
      <c r="I96" s="27">
        <f t="shared" si="14"/>
        <v>184</v>
      </c>
      <c r="J96" s="52" t="s">
        <v>15</v>
      </c>
      <c r="K96" s="27" t="s">
        <v>15</v>
      </c>
      <c r="L96" s="38">
        <v>0</v>
      </c>
      <c r="M96" s="47">
        <v>0</v>
      </c>
      <c r="N96" s="67">
        <f>L96+M96</f>
        <v>0</v>
      </c>
      <c r="O96" s="35">
        <v>0</v>
      </c>
      <c r="P96" s="36">
        <f t="shared" si="15"/>
        <v>0</v>
      </c>
      <c r="Q96" s="52" t="s">
        <v>15</v>
      </c>
      <c r="R96" s="27" t="s">
        <v>15</v>
      </c>
      <c r="S96" s="38">
        <v>308</v>
      </c>
      <c r="T96" s="47">
        <v>44</v>
      </c>
      <c r="U96" s="67">
        <f>S96+T96</f>
        <v>352</v>
      </c>
      <c r="V96" s="35">
        <v>0</v>
      </c>
      <c r="W96" s="36">
        <f t="shared" si="18"/>
        <v>352</v>
      </c>
    </row>
    <row r="97" spans="1:23" x14ac:dyDescent="0.25">
      <c r="A97" s="5" t="s">
        <v>197</v>
      </c>
      <c r="B97" s="6" t="s">
        <v>198</v>
      </c>
      <c r="C97" s="52" t="s">
        <v>15</v>
      </c>
      <c r="D97" s="27" t="s">
        <v>15</v>
      </c>
      <c r="E97" s="28">
        <v>0</v>
      </c>
      <c r="F97" s="29">
        <v>94</v>
      </c>
      <c r="G97" s="30">
        <f t="shared" si="23"/>
        <v>94</v>
      </c>
      <c r="H97" s="31">
        <v>0</v>
      </c>
      <c r="I97" s="27">
        <f t="shared" si="14"/>
        <v>94</v>
      </c>
      <c r="J97" s="52" t="s">
        <v>15</v>
      </c>
      <c r="K97" s="27" t="s">
        <v>15</v>
      </c>
      <c r="L97" s="38">
        <v>0</v>
      </c>
      <c r="M97" s="47">
        <v>0</v>
      </c>
      <c r="N97" s="67">
        <f>L97+M97</f>
        <v>0</v>
      </c>
      <c r="O97" s="35">
        <v>0</v>
      </c>
      <c r="P97" s="36">
        <f t="shared" si="15"/>
        <v>0</v>
      </c>
      <c r="Q97" s="52" t="s">
        <v>15</v>
      </c>
      <c r="R97" s="27" t="s">
        <v>15</v>
      </c>
      <c r="S97" s="38">
        <v>0</v>
      </c>
      <c r="T97" s="47">
        <v>0</v>
      </c>
      <c r="U97" s="67">
        <f>S97+T97</f>
        <v>0</v>
      </c>
      <c r="V97" s="35">
        <v>0</v>
      </c>
      <c r="W97" s="36">
        <f t="shared" si="18"/>
        <v>0</v>
      </c>
    </row>
    <row r="98" spans="1:23" ht="14.45" x14ac:dyDescent="0.3">
      <c r="A98" s="39" t="s">
        <v>199</v>
      </c>
      <c r="B98" s="6" t="s">
        <v>200</v>
      </c>
      <c r="C98" s="52"/>
      <c r="D98" s="30"/>
      <c r="E98" s="28">
        <v>2736.08</v>
      </c>
      <c r="F98" s="29">
        <v>3846.64</v>
      </c>
      <c r="G98" s="30">
        <f t="shared" si="23"/>
        <v>6582.7199999999993</v>
      </c>
      <c r="H98" s="31">
        <v>0</v>
      </c>
      <c r="I98" s="27">
        <f t="shared" si="14"/>
        <v>6582.7199999999993</v>
      </c>
      <c r="J98" s="52"/>
      <c r="K98" s="30"/>
      <c r="L98" s="38">
        <v>1108.9100000000001</v>
      </c>
      <c r="M98" s="47">
        <v>560.27</v>
      </c>
      <c r="N98" s="67">
        <f>L98+M98</f>
        <v>1669.18</v>
      </c>
      <c r="O98" s="35">
        <v>0</v>
      </c>
      <c r="P98" s="36">
        <f t="shared" si="15"/>
        <v>1669.18</v>
      </c>
      <c r="Q98" s="52"/>
      <c r="R98" s="30"/>
      <c r="S98" s="38">
        <v>214.83</v>
      </c>
      <c r="T98" s="47">
        <v>1454.35</v>
      </c>
      <c r="U98" s="67">
        <f>S98+T98</f>
        <v>1669.1799999999998</v>
      </c>
      <c r="V98" s="35">
        <v>0</v>
      </c>
      <c r="W98" s="36">
        <f t="shared" si="18"/>
        <v>1669.1799999999998</v>
      </c>
    </row>
    <row r="99" spans="1:23" x14ac:dyDescent="0.25">
      <c r="A99" s="9" t="s">
        <v>201</v>
      </c>
      <c r="B99" s="10" t="s">
        <v>202</v>
      </c>
      <c r="C99" s="11"/>
      <c r="D99" s="12"/>
      <c r="E99" s="13">
        <f>SUM(E100:E103)</f>
        <v>4202.7700000000004</v>
      </c>
      <c r="F99" s="14">
        <f>SUM(F100:F103)</f>
        <v>1669.58</v>
      </c>
      <c r="G99" s="15">
        <f>SUM(G100:G103)</f>
        <v>5872.35</v>
      </c>
      <c r="H99" s="16">
        <f>SUM(H100:H103)</f>
        <v>17.34</v>
      </c>
      <c r="I99" s="17">
        <f t="shared" si="14"/>
        <v>5889.6900000000005</v>
      </c>
      <c r="J99" s="18"/>
      <c r="K99" s="19"/>
      <c r="L99" s="20">
        <f>SUM(L100:L103)</f>
        <v>0</v>
      </c>
      <c r="M99" s="21">
        <f>SUM(M100:M103)</f>
        <v>0</v>
      </c>
      <c r="N99" s="22">
        <f>SUM(N100:N103)</f>
        <v>0</v>
      </c>
      <c r="O99" s="23">
        <f>SUM(O100:O103)</f>
        <v>0</v>
      </c>
      <c r="P99" s="24">
        <f t="shared" si="15"/>
        <v>0</v>
      </c>
      <c r="Q99" s="18"/>
      <c r="R99" s="19"/>
      <c r="S99" s="20">
        <f>SUM(S100:S103)</f>
        <v>2479.19</v>
      </c>
      <c r="T99" s="21">
        <f>SUM(T100:T103)</f>
        <v>485.99</v>
      </c>
      <c r="U99" s="22">
        <f>SUM(U100:U103)</f>
        <v>2965.1800000000003</v>
      </c>
      <c r="V99" s="23">
        <f>SUM(V100:V103)</f>
        <v>9.4</v>
      </c>
      <c r="W99" s="24">
        <f t="shared" si="18"/>
        <v>2974.5800000000004</v>
      </c>
    </row>
    <row r="100" spans="1:23" x14ac:dyDescent="0.25">
      <c r="A100" s="5" t="s">
        <v>203</v>
      </c>
      <c r="B100" s="49" t="s">
        <v>204</v>
      </c>
      <c r="C100" s="52"/>
      <c r="D100" s="27"/>
      <c r="E100" s="28">
        <v>0</v>
      </c>
      <c r="F100" s="29">
        <v>0</v>
      </c>
      <c r="G100" s="30">
        <f t="shared" ref="G100:G103" si="24">SUM(E100:F100)</f>
        <v>0</v>
      </c>
      <c r="H100" s="31">
        <v>0</v>
      </c>
      <c r="I100" s="27">
        <f t="shared" si="14"/>
        <v>0</v>
      </c>
      <c r="J100" s="52"/>
      <c r="K100" s="27"/>
      <c r="L100" s="38">
        <v>0</v>
      </c>
      <c r="M100" s="47">
        <v>0</v>
      </c>
      <c r="N100" s="67">
        <v>0</v>
      </c>
      <c r="O100" s="35">
        <v>0</v>
      </c>
      <c r="P100" s="36">
        <f t="shared" si="15"/>
        <v>0</v>
      </c>
      <c r="Q100" s="52"/>
      <c r="R100" s="27"/>
      <c r="S100" s="38">
        <v>0</v>
      </c>
      <c r="T100" s="47">
        <v>0</v>
      </c>
      <c r="U100" s="67">
        <f t="shared" ref="U100:U103" si="25">S100+T100</f>
        <v>0</v>
      </c>
      <c r="V100" s="35">
        <v>0</v>
      </c>
      <c r="W100" s="36">
        <f t="shared" si="18"/>
        <v>0</v>
      </c>
    </row>
    <row r="101" spans="1:23" x14ac:dyDescent="0.25">
      <c r="A101" s="5" t="s">
        <v>205</v>
      </c>
      <c r="B101" s="49" t="s">
        <v>206</v>
      </c>
      <c r="C101" s="52"/>
      <c r="D101" s="27"/>
      <c r="E101" s="28">
        <v>0</v>
      </c>
      <c r="F101" s="29">
        <v>0</v>
      </c>
      <c r="G101" s="30">
        <f t="shared" si="24"/>
        <v>0</v>
      </c>
      <c r="H101" s="31">
        <v>0</v>
      </c>
      <c r="I101" s="27">
        <f t="shared" si="14"/>
        <v>0</v>
      </c>
      <c r="J101" s="52"/>
      <c r="K101" s="27"/>
      <c r="L101" s="38">
        <v>0</v>
      </c>
      <c r="M101" s="47">
        <v>0</v>
      </c>
      <c r="N101" s="67">
        <f>L101+M101</f>
        <v>0</v>
      </c>
      <c r="O101" s="35">
        <v>0</v>
      </c>
      <c r="P101" s="36">
        <f t="shared" si="15"/>
        <v>0</v>
      </c>
      <c r="Q101" s="52"/>
      <c r="R101" s="27"/>
      <c r="S101" s="38">
        <v>0</v>
      </c>
      <c r="T101" s="47">
        <v>0</v>
      </c>
      <c r="U101" s="67">
        <f t="shared" si="25"/>
        <v>0</v>
      </c>
      <c r="V101" s="35">
        <v>0</v>
      </c>
      <c r="W101" s="36">
        <f t="shared" si="18"/>
        <v>0</v>
      </c>
    </row>
    <row r="102" spans="1:23" ht="14.45" x14ac:dyDescent="0.3">
      <c r="A102" s="39" t="s">
        <v>207</v>
      </c>
      <c r="B102" s="83" t="s">
        <v>208</v>
      </c>
      <c r="C102" s="52" t="s">
        <v>15</v>
      </c>
      <c r="D102" s="27" t="s">
        <v>15</v>
      </c>
      <c r="E102" s="28">
        <v>0</v>
      </c>
      <c r="F102" s="29">
        <v>0</v>
      </c>
      <c r="G102" s="30">
        <f t="shared" si="24"/>
        <v>0</v>
      </c>
      <c r="H102" s="31">
        <v>0</v>
      </c>
      <c r="I102" s="27">
        <f t="shared" si="14"/>
        <v>0</v>
      </c>
      <c r="J102" s="52" t="s">
        <v>15</v>
      </c>
      <c r="K102" s="27" t="s">
        <v>15</v>
      </c>
      <c r="L102" s="38">
        <v>0</v>
      </c>
      <c r="M102" s="47">
        <v>0</v>
      </c>
      <c r="N102" s="67">
        <f>L102+M102</f>
        <v>0</v>
      </c>
      <c r="O102" s="35">
        <v>0</v>
      </c>
      <c r="P102" s="36">
        <f t="shared" si="15"/>
        <v>0</v>
      </c>
      <c r="Q102" s="52" t="s">
        <v>15</v>
      </c>
      <c r="R102" s="27" t="s">
        <v>15</v>
      </c>
      <c r="S102" s="38">
        <v>0</v>
      </c>
      <c r="T102" s="47">
        <v>0</v>
      </c>
      <c r="U102" s="67">
        <f t="shared" si="25"/>
        <v>0</v>
      </c>
      <c r="V102" s="35">
        <v>0</v>
      </c>
      <c r="W102" s="36">
        <f t="shared" si="18"/>
        <v>0</v>
      </c>
    </row>
    <row r="103" spans="1:23" ht="14.45" x14ac:dyDescent="0.3">
      <c r="A103" s="84" t="s">
        <v>209</v>
      </c>
      <c r="B103" s="85" t="s">
        <v>210</v>
      </c>
      <c r="C103" s="52"/>
      <c r="D103" s="27"/>
      <c r="E103" s="28">
        <f>4187.43+15.34</f>
        <v>4202.7700000000004</v>
      </c>
      <c r="F103" s="29">
        <v>1669.58</v>
      </c>
      <c r="G103" s="30">
        <f t="shared" si="24"/>
        <v>5872.35</v>
      </c>
      <c r="H103" s="31">
        <v>17.34</v>
      </c>
      <c r="I103" s="27">
        <f t="shared" si="14"/>
        <v>5889.6900000000005</v>
      </c>
      <c r="J103" s="52"/>
      <c r="K103" s="27"/>
      <c r="L103" s="38">
        <v>0</v>
      </c>
      <c r="M103" s="47">
        <v>0</v>
      </c>
      <c r="N103" s="67">
        <f>L103+M103</f>
        <v>0</v>
      </c>
      <c r="O103" s="35">
        <v>0</v>
      </c>
      <c r="P103" s="36">
        <f t="shared" si="15"/>
        <v>0</v>
      </c>
      <c r="Q103" s="52"/>
      <c r="R103" s="27"/>
      <c r="S103" s="38">
        <f>2475.77+3.42</f>
        <v>2479.19</v>
      </c>
      <c r="T103" s="47">
        <v>485.99</v>
      </c>
      <c r="U103" s="67">
        <f t="shared" si="25"/>
        <v>2965.1800000000003</v>
      </c>
      <c r="V103" s="35">
        <v>9.4</v>
      </c>
      <c r="W103" s="36">
        <f t="shared" si="18"/>
        <v>2974.5800000000004</v>
      </c>
    </row>
    <row r="104" spans="1:23" x14ac:dyDescent="0.25">
      <c r="A104" s="86" t="s">
        <v>211</v>
      </c>
      <c r="B104" s="87" t="s">
        <v>212</v>
      </c>
      <c r="C104" s="88"/>
      <c r="D104" s="89"/>
      <c r="E104" s="90">
        <f>E105</f>
        <v>65.180000000000007</v>
      </c>
      <c r="F104" s="14">
        <f>F105</f>
        <v>0</v>
      </c>
      <c r="G104" s="91">
        <f>G105</f>
        <v>65.180000000000007</v>
      </c>
      <c r="H104" s="92">
        <f>H105</f>
        <v>0</v>
      </c>
      <c r="I104" s="17">
        <f t="shared" si="14"/>
        <v>65.180000000000007</v>
      </c>
      <c r="J104" s="93"/>
      <c r="K104" s="94"/>
      <c r="L104" s="95">
        <f>L105</f>
        <v>0</v>
      </c>
      <c r="M104" s="21">
        <f>M105</f>
        <v>0</v>
      </c>
      <c r="N104" s="96">
        <f>N105</f>
        <v>0</v>
      </c>
      <c r="O104" s="97">
        <f>O105</f>
        <v>0</v>
      </c>
      <c r="P104" s="24">
        <f t="shared" si="15"/>
        <v>0</v>
      </c>
      <c r="Q104" s="93"/>
      <c r="R104" s="89"/>
      <c r="S104" s="95">
        <f>S105</f>
        <v>38.630000000000003</v>
      </c>
      <c r="T104" s="21">
        <f>T105</f>
        <v>2.39</v>
      </c>
      <c r="U104" s="96">
        <f>U105+U106</f>
        <v>41.02</v>
      </c>
      <c r="V104" s="97">
        <f>V105</f>
        <v>0</v>
      </c>
      <c r="W104" s="24">
        <f t="shared" si="18"/>
        <v>41.02</v>
      </c>
    </row>
    <row r="105" spans="1:23" x14ac:dyDescent="0.25">
      <c r="A105" s="98" t="s">
        <v>213</v>
      </c>
      <c r="B105" s="85" t="s">
        <v>214</v>
      </c>
      <c r="C105" s="52"/>
      <c r="D105" s="27"/>
      <c r="E105" s="28">
        <v>65.180000000000007</v>
      </c>
      <c r="F105" s="29">
        <v>0</v>
      </c>
      <c r="G105" s="30">
        <f t="shared" ref="G105:G106" si="26">SUM(E105:F105)</f>
        <v>65.180000000000007</v>
      </c>
      <c r="H105" s="99">
        <v>0</v>
      </c>
      <c r="I105" s="27">
        <f t="shared" si="14"/>
        <v>65.180000000000007</v>
      </c>
      <c r="J105" s="52"/>
      <c r="K105" s="27"/>
      <c r="L105" s="38">
        <v>0</v>
      </c>
      <c r="M105" s="47">
        <v>0</v>
      </c>
      <c r="N105" s="36">
        <v>0</v>
      </c>
      <c r="O105" s="35">
        <v>0</v>
      </c>
      <c r="P105" s="36">
        <f t="shared" si="15"/>
        <v>0</v>
      </c>
      <c r="Q105" s="52"/>
      <c r="R105" s="27"/>
      <c r="S105" s="38">
        <v>38.630000000000003</v>
      </c>
      <c r="T105" s="47">
        <v>2.39</v>
      </c>
      <c r="U105" s="67">
        <f>S105+T105</f>
        <v>41.02</v>
      </c>
      <c r="V105" s="35">
        <v>0</v>
      </c>
      <c r="W105" s="36">
        <f t="shared" si="18"/>
        <v>41.02</v>
      </c>
    </row>
    <row r="106" spans="1:23" x14ac:dyDescent="0.25">
      <c r="A106" s="98" t="s">
        <v>215</v>
      </c>
      <c r="B106" s="85" t="s">
        <v>216</v>
      </c>
      <c r="C106" s="52"/>
      <c r="D106" s="27"/>
      <c r="E106" s="28">
        <v>0</v>
      </c>
      <c r="F106" s="29">
        <v>0</v>
      </c>
      <c r="G106" s="30">
        <f t="shared" si="26"/>
        <v>0</v>
      </c>
      <c r="H106" s="99">
        <v>0</v>
      </c>
      <c r="I106" s="27">
        <f t="shared" si="14"/>
        <v>0</v>
      </c>
      <c r="J106" s="52"/>
      <c r="K106" s="27"/>
      <c r="L106" s="38"/>
      <c r="M106" s="47"/>
      <c r="N106" s="36"/>
      <c r="O106" s="35"/>
      <c r="P106" s="36"/>
      <c r="Q106" s="52"/>
      <c r="R106" s="27"/>
      <c r="S106" s="38">
        <v>0</v>
      </c>
      <c r="T106" s="47">
        <v>0</v>
      </c>
      <c r="U106" s="67">
        <f t="shared" ref="U106:U108" si="27">S106+T106</f>
        <v>0</v>
      </c>
      <c r="V106" s="35">
        <v>0</v>
      </c>
      <c r="W106" s="36">
        <f t="shared" si="18"/>
        <v>0</v>
      </c>
    </row>
    <row r="107" spans="1:23" x14ac:dyDescent="0.25">
      <c r="A107" s="86" t="s">
        <v>217</v>
      </c>
      <c r="B107" s="87" t="s">
        <v>218</v>
      </c>
      <c r="C107" s="52"/>
      <c r="D107" s="27"/>
      <c r="E107" s="90">
        <f>E108</f>
        <v>0</v>
      </c>
      <c r="F107" s="14">
        <f>F108</f>
        <v>0</v>
      </c>
      <c r="G107" s="91">
        <f>G108</f>
        <v>0</v>
      </c>
      <c r="H107" s="92">
        <f>H108</f>
        <v>0</v>
      </c>
      <c r="I107" s="17">
        <f t="shared" si="14"/>
        <v>0</v>
      </c>
      <c r="J107" s="7"/>
      <c r="K107" s="8"/>
      <c r="L107" s="95">
        <f>L108</f>
        <v>0</v>
      </c>
      <c r="M107" s="21">
        <f>M108</f>
        <v>0</v>
      </c>
      <c r="N107" s="96">
        <f>N108</f>
        <v>0</v>
      </c>
      <c r="O107" s="97">
        <f>O108</f>
        <v>0</v>
      </c>
      <c r="P107" s="24">
        <f t="shared" ref="P107:P170" si="28">N107+O107</f>
        <v>0</v>
      </c>
      <c r="Q107" s="52"/>
      <c r="R107" s="27"/>
      <c r="S107" s="95">
        <f>S108</f>
        <v>0</v>
      </c>
      <c r="T107" s="21">
        <f>T108</f>
        <v>0</v>
      </c>
      <c r="U107" s="96">
        <f>U108</f>
        <v>0</v>
      </c>
      <c r="V107" s="97">
        <f>V108</f>
        <v>0</v>
      </c>
      <c r="W107" s="24">
        <f t="shared" ref="W107:W170" si="29">U107+V107</f>
        <v>0</v>
      </c>
    </row>
    <row r="108" spans="1:23" x14ac:dyDescent="0.25">
      <c r="A108" s="6" t="s">
        <v>219</v>
      </c>
      <c r="B108" s="100" t="s">
        <v>220</v>
      </c>
      <c r="C108" s="52"/>
      <c r="D108" s="27"/>
      <c r="E108" s="101">
        <v>0</v>
      </c>
      <c r="F108" s="102">
        <v>0</v>
      </c>
      <c r="G108" s="27">
        <v>0</v>
      </c>
      <c r="H108" s="31">
        <v>0</v>
      </c>
      <c r="I108" s="27">
        <f t="shared" si="14"/>
        <v>0</v>
      </c>
      <c r="J108" s="52"/>
      <c r="K108" s="27"/>
      <c r="L108" s="38">
        <v>0</v>
      </c>
      <c r="M108" s="47">
        <v>0</v>
      </c>
      <c r="N108" s="36">
        <v>0</v>
      </c>
      <c r="O108" s="35">
        <v>0</v>
      </c>
      <c r="P108" s="36">
        <f t="shared" si="28"/>
        <v>0</v>
      </c>
      <c r="Q108" s="52"/>
      <c r="R108" s="27"/>
      <c r="S108" s="38">
        <v>0</v>
      </c>
      <c r="T108" s="47">
        <v>0</v>
      </c>
      <c r="U108" s="67">
        <f t="shared" si="27"/>
        <v>0</v>
      </c>
      <c r="V108" s="35">
        <v>0</v>
      </c>
      <c r="W108" s="36">
        <f t="shared" si="29"/>
        <v>0</v>
      </c>
    </row>
    <row r="109" spans="1:23" x14ac:dyDescent="0.25">
      <c r="A109" s="103">
        <v>76</v>
      </c>
      <c r="B109" s="103" t="s">
        <v>221</v>
      </c>
      <c r="C109" s="104"/>
      <c r="D109" s="105"/>
      <c r="E109" s="106">
        <f>E110+E163+E168+E171</f>
        <v>1568207.04</v>
      </c>
      <c r="F109" s="107">
        <f>F110+F163+F168+F171</f>
        <v>588673.81000000017</v>
      </c>
      <c r="G109" s="108">
        <f>E109+F109</f>
        <v>2156880.85</v>
      </c>
      <c r="H109" s="109">
        <f>H110+H163+H168+H171</f>
        <v>60263.569999999992</v>
      </c>
      <c r="I109" s="110">
        <f t="shared" si="14"/>
        <v>2217144.42</v>
      </c>
      <c r="J109" s="111"/>
      <c r="K109" s="112"/>
      <c r="L109" s="113">
        <f>L110+L163+L168+L171</f>
        <v>1511652.55</v>
      </c>
      <c r="M109" s="114">
        <f>M110+M163+M168+M171</f>
        <v>601525.98</v>
      </c>
      <c r="N109" s="115">
        <f>L109+M109</f>
        <v>2113178.5300000003</v>
      </c>
      <c r="O109" s="116">
        <f>O110+O163+O168+O171</f>
        <v>61000</v>
      </c>
      <c r="P109" s="117">
        <f t="shared" si="28"/>
        <v>2174178.5300000003</v>
      </c>
      <c r="Q109" s="111"/>
      <c r="R109" s="112"/>
      <c r="S109" s="113">
        <f>S110+S163+S168+S171</f>
        <v>1570336.4299999995</v>
      </c>
      <c r="T109" s="114">
        <f>T110+T163+T168+T171</f>
        <v>555504.15999999992</v>
      </c>
      <c r="U109" s="115">
        <f>S109+T109</f>
        <v>2125840.5899999994</v>
      </c>
      <c r="V109" s="116">
        <f>V110+V163+V168+V171</f>
        <v>54174.3</v>
      </c>
      <c r="W109" s="117">
        <f t="shared" si="29"/>
        <v>2180014.8899999992</v>
      </c>
    </row>
    <row r="110" spans="1:23" ht="14.45" x14ac:dyDescent="0.3">
      <c r="A110" s="118">
        <v>760</v>
      </c>
      <c r="B110" s="118" t="s">
        <v>222</v>
      </c>
      <c r="C110" s="119"/>
      <c r="D110" s="120"/>
      <c r="E110" s="121">
        <f>SUM(E111:E162)</f>
        <v>1563611.3</v>
      </c>
      <c r="F110" s="122">
        <f>SUM(F111:F162)</f>
        <v>588223.81000000017</v>
      </c>
      <c r="G110" s="123">
        <f>SUM(G111:G162)</f>
        <v>2151835.11</v>
      </c>
      <c r="H110" s="124">
        <f>SUM(H111:H162)</f>
        <v>60263.569999999992</v>
      </c>
      <c r="I110" s="45">
        <f t="shared" si="14"/>
        <v>2212098.6799999997</v>
      </c>
      <c r="J110" s="111"/>
      <c r="K110" s="112"/>
      <c r="L110" s="125">
        <f>SUM(L111:L162)</f>
        <v>1511242.55</v>
      </c>
      <c r="M110" s="126">
        <f>SUM(M111:M162)</f>
        <v>601525.98</v>
      </c>
      <c r="N110" s="127">
        <f>SUM(N111:N162)</f>
        <v>2112768.5300000003</v>
      </c>
      <c r="O110" s="128">
        <f>SUM(O111:O162)</f>
        <v>61000</v>
      </c>
      <c r="P110" s="129">
        <f t="shared" si="28"/>
        <v>2173768.5300000003</v>
      </c>
      <c r="Q110" s="111"/>
      <c r="R110" s="112"/>
      <c r="S110" s="125">
        <f>SUM(S111:S162)</f>
        <v>1569445.1999999995</v>
      </c>
      <c r="T110" s="126">
        <f>SUM(T111:T162)</f>
        <v>555275.44999999995</v>
      </c>
      <c r="U110" s="127">
        <f>SUM(U111:U162)</f>
        <v>2124720.65</v>
      </c>
      <c r="V110" s="128">
        <f>SUM(V111:V162)</f>
        <v>54174.3</v>
      </c>
      <c r="W110" s="129">
        <f t="shared" si="29"/>
        <v>2178894.9499999997</v>
      </c>
    </row>
    <row r="111" spans="1:23" x14ac:dyDescent="0.25">
      <c r="A111" s="130" t="s">
        <v>223</v>
      </c>
      <c r="B111" s="131" t="s">
        <v>224</v>
      </c>
      <c r="C111" s="119"/>
      <c r="D111" s="120"/>
      <c r="E111" s="28">
        <f>1083825.44+11921.25</f>
        <v>1095746.69</v>
      </c>
      <c r="F111" s="132">
        <v>577.85</v>
      </c>
      <c r="G111" s="30">
        <f t="shared" ref="G111:G162" si="30">SUM(E111:F111)</f>
        <v>1096324.54</v>
      </c>
      <c r="H111" s="31">
        <v>0</v>
      </c>
      <c r="I111" s="27">
        <f t="shared" si="14"/>
        <v>1096324.54</v>
      </c>
      <c r="J111" s="119"/>
      <c r="K111" s="120"/>
      <c r="L111" s="38">
        <f>1075395.78-121.02</f>
        <v>1075274.76</v>
      </c>
      <c r="M111" s="133">
        <v>0</v>
      </c>
      <c r="N111" s="67">
        <f t="shared" ref="N111:N162" si="31">L111+M111</f>
        <v>1075274.76</v>
      </c>
      <c r="O111" s="35">
        <v>0</v>
      </c>
      <c r="P111" s="36">
        <f t="shared" si="28"/>
        <v>1075274.76</v>
      </c>
      <c r="Q111" s="119"/>
      <c r="R111" s="120"/>
      <c r="S111" s="38">
        <f>1113465.6+11964.6</f>
        <v>1125430.2000000002</v>
      </c>
      <c r="T111" s="133">
        <v>0</v>
      </c>
      <c r="U111" s="67">
        <f t="shared" ref="U111:U162" si="32">S111+T111</f>
        <v>1125430.2000000002</v>
      </c>
      <c r="V111" s="35">
        <v>0</v>
      </c>
      <c r="W111" s="36">
        <f t="shared" si="29"/>
        <v>1125430.2000000002</v>
      </c>
    </row>
    <row r="112" spans="1:23" x14ac:dyDescent="0.25">
      <c r="A112" s="131" t="s">
        <v>225</v>
      </c>
      <c r="B112" s="131" t="s">
        <v>226</v>
      </c>
      <c r="C112" s="119"/>
      <c r="D112" s="120"/>
      <c r="E112" s="28">
        <v>5898.95</v>
      </c>
      <c r="F112" s="132">
        <v>0</v>
      </c>
      <c r="G112" s="30">
        <f t="shared" si="30"/>
        <v>5898.95</v>
      </c>
      <c r="H112" s="31">
        <v>0</v>
      </c>
      <c r="I112" s="27">
        <f t="shared" si="14"/>
        <v>5898.95</v>
      </c>
      <c r="J112" s="119"/>
      <c r="K112" s="120"/>
      <c r="L112" s="38">
        <v>3000</v>
      </c>
      <c r="M112" s="134">
        <v>0</v>
      </c>
      <c r="N112" s="67">
        <f t="shared" si="31"/>
        <v>3000</v>
      </c>
      <c r="O112" s="35">
        <v>0</v>
      </c>
      <c r="P112" s="36">
        <f t="shared" si="28"/>
        <v>3000</v>
      </c>
      <c r="Q112" s="119"/>
      <c r="R112" s="120"/>
      <c r="S112" s="38">
        <v>727.69</v>
      </c>
      <c r="T112" s="134">
        <v>0</v>
      </c>
      <c r="U112" s="67">
        <f t="shared" si="32"/>
        <v>727.69</v>
      </c>
      <c r="V112" s="35">
        <v>0</v>
      </c>
      <c r="W112" s="36">
        <f t="shared" si="29"/>
        <v>727.69</v>
      </c>
    </row>
    <row r="113" spans="1:23" x14ac:dyDescent="0.25">
      <c r="A113" s="131" t="s">
        <v>227</v>
      </c>
      <c r="B113" s="131" t="s">
        <v>228</v>
      </c>
      <c r="C113" s="119"/>
      <c r="D113" s="120"/>
      <c r="E113" s="28">
        <v>18235.75</v>
      </c>
      <c r="F113" s="132">
        <v>0</v>
      </c>
      <c r="G113" s="30">
        <f t="shared" si="30"/>
        <v>18235.75</v>
      </c>
      <c r="H113" s="31">
        <v>0</v>
      </c>
      <c r="I113" s="27">
        <f t="shared" si="14"/>
        <v>18235.75</v>
      </c>
      <c r="J113" s="119"/>
      <c r="K113" s="120"/>
      <c r="L113" s="38">
        <v>20000</v>
      </c>
      <c r="M113" s="134">
        <v>0</v>
      </c>
      <c r="N113" s="67">
        <f t="shared" si="31"/>
        <v>20000</v>
      </c>
      <c r="O113" s="35">
        <v>0</v>
      </c>
      <c r="P113" s="36">
        <f t="shared" si="28"/>
        <v>20000</v>
      </c>
      <c r="Q113" s="119"/>
      <c r="R113" s="120"/>
      <c r="S113" s="38">
        <v>23935.4</v>
      </c>
      <c r="T113" s="134">
        <v>0</v>
      </c>
      <c r="U113" s="67">
        <f t="shared" si="32"/>
        <v>23935.4</v>
      </c>
      <c r="V113" s="35">
        <v>0</v>
      </c>
      <c r="W113" s="36">
        <f t="shared" si="29"/>
        <v>23935.4</v>
      </c>
    </row>
    <row r="114" spans="1:23" x14ac:dyDescent="0.25">
      <c r="A114" s="131" t="s">
        <v>229</v>
      </c>
      <c r="B114" s="131" t="s">
        <v>230</v>
      </c>
      <c r="C114" s="119"/>
      <c r="D114" s="120"/>
      <c r="E114" s="28">
        <f>58854.58+3683.91</f>
        <v>62538.490000000005</v>
      </c>
      <c r="F114" s="132">
        <v>270</v>
      </c>
      <c r="G114" s="30">
        <f t="shared" si="30"/>
        <v>62808.490000000005</v>
      </c>
      <c r="H114" s="31">
        <v>0</v>
      </c>
      <c r="I114" s="27">
        <f t="shared" si="14"/>
        <v>62808.490000000005</v>
      </c>
      <c r="J114" s="119"/>
      <c r="K114" s="120"/>
      <c r="L114" s="38">
        <v>50000</v>
      </c>
      <c r="M114" s="134">
        <v>0</v>
      </c>
      <c r="N114" s="67">
        <f t="shared" si="31"/>
        <v>50000</v>
      </c>
      <c r="O114" s="35">
        <v>0</v>
      </c>
      <c r="P114" s="36">
        <f t="shared" si="28"/>
        <v>50000</v>
      </c>
      <c r="Q114" s="119"/>
      <c r="R114" s="120"/>
      <c r="S114" s="38">
        <f>56139.92+267.78</f>
        <v>56407.7</v>
      </c>
      <c r="T114" s="134">
        <v>0</v>
      </c>
      <c r="U114" s="67">
        <f t="shared" si="32"/>
        <v>56407.7</v>
      </c>
      <c r="V114" s="35">
        <v>0</v>
      </c>
      <c r="W114" s="36">
        <f t="shared" si="29"/>
        <v>56407.7</v>
      </c>
    </row>
    <row r="115" spans="1:23" x14ac:dyDescent="0.25">
      <c r="A115" s="131" t="s">
        <v>231</v>
      </c>
      <c r="B115" s="131" t="s">
        <v>232</v>
      </c>
      <c r="C115" s="119"/>
      <c r="D115" s="120"/>
      <c r="E115" s="28">
        <v>4269.88</v>
      </c>
      <c r="F115" s="132">
        <v>0</v>
      </c>
      <c r="G115" s="30">
        <f t="shared" si="30"/>
        <v>4269.88</v>
      </c>
      <c r="H115" s="31">
        <v>0</v>
      </c>
      <c r="I115" s="27">
        <f t="shared" si="14"/>
        <v>4269.88</v>
      </c>
      <c r="J115" s="119"/>
      <c r="K115" s="120"/>
      <c r="L115" s="38">
        <v>4273.68</v>
      </c>
      <c r="M115" s="134">
        <v>0</v>
      </c>
      <c r="N115" s="67">
        <f t="shared" si="31"/>
        <v>4273.68</v>
      </c>
      <c r="O115" s="35">
        <v>0</v>
      </c>
      <c r="P115" s="36">
        <f t="shared" si="28"/>
        <v>4273.68</v>
      </c>
      <c r="Q115" s="119"/>
      <c r="R115" s="120"/>
      <c r="S115" s="38">
        <v>4273.68</v>
      </c>
      <c r="T115" s="134">
        <v>0</v>
      </c>
      <c r="U115" s="67">
        <f t="shared" si="32"/>
        <v>4273.68</v>
      </c>
      <c r="V115" s="35">
        <v>0</v>
      </c>
      <c r="W115" s="36">
        <f t="shared" si="29"/>
        <v>4273.68</v>
      </c>
    </row>
    <row r="116" spans="1:23" x14ac:dyDescent="0.25">
      <c r="A116" s="130" t="s">
        <v>233</v>
      </c>
      <c r="B116" s="131" t="s">
        <v>234</v>
      </c>
      <c r="C116" s="119"/>
      <c r="D116" s="120"/>
      <c r="E116" s="28">
        <v>1039.52</v>
      </c>
      <c r="F116" s="132">
        <v>0</v>
      </c>
      <c r="G116" s="30">
        <f t="shared" si="30"/>
        <v>1039.52</v>
      </c>
      <c r="H116" s="31">
        <v>0</v>
      </c>
      <c r="I116" s="27">
        <f t="shared" si="14"/>
        <v>1039.52</v>
      </c>
      <c r="J116" s="119"/>
      <c r="K116" s="120"/>
      <c r="L116" s="38">
        <v>0</v>
      </c>
      <c r="M116" s="134">
        <v>0</v>
      </c>
      <c r="N116" s="67">
        <f t="shared" si="31"/>
        <v>0</v>
      </c>
      <c r="O116" s="35">
        <v>0</v>
      </c>
      <c r="P116" s="36">
        <f t="shared" si="28"/>
        <v>0</v>
      </c>
      <c r="Q116" s="119"/>
      <c r="R116" s="120"/>
      <c r="S116" s="38">
        <v>2219.89</v>
      </c>
      <c r="T116" s="134">
        <v>0</v>
      </c>
      <c r="U116" s="67">
        <f t="shared" si="32"/>
        <v>2219.89</v>
      </c>
      <c r="V116" s="35">
        <v>0</v>
      </c>
      <c r="W116" s="36">
        <f t="shared" si="29"/>
        <v>2219.89</v>
      </c>
    </row>
    <row r="117" spans="1:23" x14ac:dyDescent="0.25">
      <c r="A117" s="131" t="s">
        <v>235</v>
      </c>
      <c r="B117" s="131" t="s">
        <v>236</v>
      </c>
      <c r="C117" s="119"/>
      <c r="D117" s="120"/>
      <c r="E117" s="28">
        <v>40373.620000000003</v>
      </c>
      <c r="F117" s="132">
        <v>0</v>
      </c>
      <c r="G117" s="30">
        <f t="shared" si="30"/>
        <v>40373.620000000003</v>
      </c>
      <c r="H117" s="31">
        <v>0</v>
      </c>
      <c r="I117" s="27">
        <f t="shared" si="14"/>
        <v>40373.620000000003</v>
      </c>
      <c r="J117" s="119"/>
      <c r="K117" s="120"/>
      <c r="L117" s="38">
        <v>18182.37</v>
      </c>
      <c r="M117" s="134">
        <v>0</v>
      </c>
      <c r="N117" s="67">
        <f t="shared" si="31"/>
        <v>18182.37</v>
      </c>
      <c r="O117" s="35">
        <v>0</v>
      </c>
      <c r="P117" s="36">
        <f t="shared" si="28"/>
        <v>18182.37</v>
      </c>
      <c r="Q117" s="119"/>
      <c r="R117" s="120"/>
      <c r="S117" s="38">
        <v>18560.650000000001</v>
      </c>
      <c r="T117" s="134">
        <v>0</v>
      </c>
      <c r="U117" s="67">
        <f t="shared" si="32"/>
        <v>18560.650000000001</v>
      </c>
      <c r="V117" s="35">
        <v>0</v>
      </c>
      <c r="W117" s="36">
        <f t="shared" si="29"/>
        <v>18560.650000000001</v>
      </c>
    </row>
    <row r="118" spans="1:23" x14ac:dyDescent="0.25">
      <c r="A118" s="131" t="s">
        <v>237</v>
      </c>
      <c r="B118" s="131" t="s">
        <v>238</v>
      </c>
      <c r="C118" s="119"/>
      <c r="D118" s="120"/>
      <c r="E118" s="28">
        <v>0</v>
      </c>
      <c r="F118" s="132">
        <v>0</v>
      </c>
      <c r="G118" s="30">
        <f t="shared" si="30"/>
        <v>0</v>
      </c>
      <c r="H118" s="31">
        <v>0</v>
      </c>
      <c r="I118" s="27">
        <f t="shared" si="14"/>
        <v>0</v>
      </c>
      <c r="J118" s="119"/>
      <c r="K118" s="120"/>
      <c r="L118" s="38">
        <v>0</v>
      </c>
      <c r="M118" s="134">
        <v>0</v>
      </c>
      <c r="N118" s="67">
        <f t="shared" si="31"/>
        <v>0</v>
      </c>
      <c r="O118" s="35">
        <v>0</v>
      </c>
      <c r="P118" s="36">
        <f t="shared" si="28"/>
        <v>0</v>
      </c>
      <c r="Q118" s="119"/>
      <c r="R118" s="120"/>
      <c r="S118" s="38">
        <v>0</v>
      </c>
      <c r="T118" s="134">
        <v>0</v>
      </c>
      <c r="U118" s="67">
        <f t="shared" si="32"/>
        <v>0</v>
      </c>
      <c r="V118" s="35">
        <v>0</v>
      </c>
      <c r="W118" s="36">
        <f t="shared" si="29"/>
        <v>0</v>
      </c>
    </row>
    <row r="119" spans="1:23" x14ac:dyDescent="0.25">
      <c r="A119" s="131" t="s">
        <v>239</v>
      </c>
      <c r="B119" s="131" t="s">
        <v>240</v>
      </c>
      <c r="C119" s="119"/>
      <c r="D119" s="120"/>
      <c r="E119" s="28">
        <v>9839.02</v>
      </c>
      <c r="F119" s="132">
        <v>0</v>
      </c>
      <c r="G119" s="30">
        <f t="shared" si="30"/>
        <v>9839.02</v>
      </c>
      <c r="H119" s="31">
        <v>0</v>
      </c>
      <c r="I119" s="27">
        <f t="shared" si="14"/>
        <v>9839.02</v>
      </c>
      <c r="J119" s="119"/>
      <c r="K119" s="120"/>
      <c r="L119" s="38">
        <v>0</v>
      </c>
      <c r="M119" s="134">
        <v>0</v>
      </c>
      <c r="N119" s="67">
        <f t="shared" si="31"/>
        <v>0</v>
      </c>
      <c r="O119" s="35">
        <v>0</v>
      </c>
      <c r="P119" s="36">
        <f t="shared" si="28"/>
        <v>0</v>
      </c>
      <c r="Q119" s="119"/>
      <c r="R119" s="120"/>
      <c r="S119" s="38">
        <v>178.46</v>
      </c>
      <c r="T119" s="134">
        <v>0</v>
      </c>
      <c r="U119" s="67">
        <f t="shared" si="32"/>
        <v>178.46</v>
      </c>
      <c r="V119" s="35">
        <v>0</v>
      </c>
      <c r="W119" s="36">
        <f t="shared" si="29"/>
        <v>178.46</v>
      </c>
    </row>
    <row r="120" spans="1:23" x14ac:dyDescent="0.25">
      <c r="A120" s="131" t="s">
        <v>241</v>
      </c>
      <c r="B120" s="131" t="s">
        <v>242</v>
      </c>
      <c r="C120" s="119"/>
      <c r="D120" s="120"/>
      <c r="E120" s="28">
        <v>1510.58</v>
      </c>
      <c r="F120" s="132">
        <v>0</v>
      </c>
      <c r="G120" s="30">
        <f t="shared" si="30"/>
        <v>1510.58</v>
      </c>
      <c r="H120" s="31">
        <v>0</v>
      </c>
      <c r="I120" s="27">
        <f t="shared" ref="I120:I173" si="33">G120+H120</f>
        <v>1510.58</v>
      </c>
      <c r="J120" s="119"/>
      <c r="K120" s="120"/>
      <c r="L120" s="38">
        <v>1564</v>
      </c>
      <c r="M120" s="134">
        <v>0</v>
      </c>
      <c r="N120" s="67">
        <f t="shared" si="31"/>
        <v>1564</v>
      </c>
      <c r="O120" s="35">
        <v>0</v>
      </c>
      <c r="P120" s="36">
        <f t="shared" si="28"/>
        <v>1564</v>
      </c>
      <c r="Q120" s="119"/>
      <c r="R120" s="120"/>
      <c r="S120" s="38">
        <v>1033.72</v>
      </c>
      <c r="T120" s="134">
        <v>0</v>
      </c>
      <c r="U120" s="67">
        <f t="shared" si="32"/>
        <v>1033.72</v>
      </c>
      <c r="V120" s="35">
        <v>0</v>
      </c>
      <c r="W120" s="36">
        <f t="shared" si="29"/>
        <v>1033.72</v>
      </c>
    </row>
    <row r="121" spans="1:23" x14ac:dyDescent="0.25">
      <c r="A121" s="131" t="s">
        <v>243</v>
      </c>
      <c r="B121" s="131" t="s">
        <v>244</v>
      </c>
      <c r="C121" s="119"/>
      <c r="D121" s="120"/>
      <c r="E121" s="28">
        <v>32245</v>
      </c>
      <c r="F121" s="132">
        <v>0</v>
      </c>
      <c r="G121" s="30">
        <f t="shared" si="30"/>
        <v>32245</v>
      </c>
      <c r="H121" s="31">
        <v>0</v>
      </c>
      <c r="I121" s="27">
        <f t="shared" si="33"/>
        <v>32245</v>
      </c>
      <c r="J121" s="119"/>
      <c r="K121" s="120"/>
      <c r="L121" s="38">
        <v>33197.760000000002</v>
      </c>
      <c r="M121" s="134">
        <v>0</v>
      </c>
      <c r="N121" s="67">
        <f t="shared" si="31"/>
        <v>33197.760000000002</v>
      </c>
      <c r="O121" s="35">
        <v>0</v>
      </c>
      <c r="P121" s="36">
        <f t="shared" si="28"/>
        <v>33197.760000000002</v>
      </c>
      <c r="Q121" s="119"/>
      <c r="R121" s="120"/>
      <c r="S121" s="38">
        <v>34872.620000000003</v>
      </c>
      <c r="T121" s="134">
        <v>333</v>
      </c>
      <c r="U121" s="67">
        <f t="shared" si="32"/>
        <v>35205.620000000003</v>
      </c>
      <c r="V121" s="35">
        <v>0</v>
      </c>
      <c r="W121" s="36">
        <f t="shared" si="29"/>
        <v>35205.620000000003</v>
      </c>
    </row>
    <row r="122" spans="1:23" x14ac:dyDescent="0.25">
      <c r="A122" s="131" t="s">
        <v>245</v>
      </c>
      <c r="B122" s="131" t="s">
        <v>246</v>
      </c>
      <c r="C122" s="119"/>
      <c r="D122" s="120"/>
      <c r="E122" s="28">
        <v>19751.8</v>
      </c>
      <c r="F122" s="132">
        <v>0</v>
      </c>
      <c r="G122" s="30">
        <f t="shared" si="30"/>
        <v>19751.8</v>
      </c>
      <c r="H122" s="31">
        <v>0</v>
      </c>
      <c r="I122" s="27">
        <f t="shared" si="33"/>
        <v>19751.8</v>
      </c>
      <c r="J122" s="119"/>
      <c r="K122" s="120"/>
      <c r="L122" s="38">
        <v>25300</v>
      </c>
      <c r="M122" s="134">
        <v>0</v>
      </c>
      <c r="N122" s="67">
        <f t="shared" si="31"/>
        <v>25300</v>
      </c>
      <c r="O122" s="35">
        <v>0</v>
      </c>
      <c r="P122" s="36">
        <f t="shared" si="28"/>
        <v>25300</v>
      </c>
      <c r="Q122" s="119"/>
      <c r="R122" s="120"/>
      <c r="S122" s="38">
        <v>22697.4</v>
      </c>
      <c r="T122" s="134">
        <v>0</v>
      </c>
      <c r="U122" s="67">
        <f t="shared" si="32"/>
        <v>22697.4</v>
      </c>
      <c r="V122" s="35">
        <v>0</v>
      </c>
      <c r="W122" s="36">
        <f t="shared" si="29"/>
        <v>22697.4</v>
      </c>
    </row>
    <row r="123" spans="1:23" x14ac:dyDescent="0.25">
      <c r="A123" s="131" t="s">
        <v>247</v>
      </c>
      <c r="B123" s="131" t="s">
        <v>248</v>
      </c>
      <c r="C123" s="119"/>
      <c r="D123" s="120"/>
      <c r="E123" s="28">
        <v>3512.63</v>
      </c>
      <c r="F123" s="132">
        <v>0</v>
      </c>
      <c r="G123" s="30">
        <f t="shared" si="30"/>
        <v>3512.63</v>
      </c>
      <c r="H123" s="31">
        <v>0</v>
      </c>
      <c r="I123" s="27">
        <f t="shared" si="33"/>
        <v>3512.63</v>
      </c>
      <c r="J123" s="119"/>
      <c r="K123" s="120"/>
      <c r="L123" s="38">
        <v>5377.98</v>
      </c>
      <c r="M123" s="134">
        <v>0</v>
      </c>
      <c r="N123" s="67">
        <f t="shared" si="31"/>
        <v>5377.98</v>
      </c>
      <c r="O123" s="35">
        <v>0</v>
      </c>
      <c r="P123" s="36">
        <f t="shared" si="28"/>
        <v>5377.98</v>
      </c>
      <c r="Q123" s="119"/>
      <c r="R123" s="120"/>
      <c r="S123" s="38">
        <v>4209.3</v>
      </c>
      <c r="T123" s="134">
        <v>0</v>
      </c>
      <c r="U123" s="67">
        <f t="shared" si="32"/>
        <v>4209.3</v>
      </c>
      <c r="V123" s="35">
        <v>0</v>
      </c>
      <c r="W123" s="36">
        <f t="shared" si="29"/>
        <v>4209.3</v>
      </c>
    </row>
    <row r="124" spans="1:23" x14ac:dyDescent="0.25">
      <c r="A124" s="131" t="s">
        <v>249</v>
      </c>
      <c r="B124" s="131" t="s">
        <v>250</v>
      </c>
      <c r="C124" s="119"/>
      <c r="D124" s="120"/>
      <c r="E124" s="28">
        <v>0</v>
      </c>
      <c r="F124" s="132">
        <v>0</v>
      </c>
      <c r="G124" s="30">
        <f t="shared" si="30"/>
        <v>0</v>
      </c>
      <c r="H124" s="31">
        <v>0</v>
      </c>
      <c r="I124" s="27">
        <f t="shared" si="33"/>
        <v>0</v>
      </c>
      <c r="J124" s="119"/>
      <c r="K124" s="120"/>
      <c r="L124" s="38">
        <f>1892.8+414.52</f>
        <v>2307.3199999999997</v>
      </c>
      <c r="M124" s="134">
        <v>0</v>
      </c>
      <c r="N124" s="67">
        <f t="shared" si="31"/>
        <v>2307.3199999999997</v>
      </c>
      <c r="O124" s="35">
        <v>0</v>
      </c>
      <c r="P124" s="36">
        <f t="shared" si="28"/>
        <v>2307.3199999999997</v>
      </c>
      <c r="Q124" s="119"/>
      <c r="R124" s="120"/>
      <c r="S124" s="38">
        <v>4978</v>
      </c>
      <c r="T124" s="134">
        <v>0</v>
      </c>
      <c r="U124" s="67">
        <f t="shared" si="32"/>
        <v>4978</v>
      </c>
      <c r="V124" s="35">
        <v>0</v>
      </c>
      <c r="W124" s="36">
        <f t="shared" si="29"/>
        <v>4978</v>
      </c>
    </row>
    <row r="125" spans="1:23" x14ac:dyDescent="0.25">
      <c r="A125" s="130" t="s">
        <v>251</v>
      </c>
      <c r="B125" s="131" t="s">
        <v>252</v>
      </c>
      <c r="C125" s="119"/>
      <c r="D125" s="120"/>
      <c r="E125" s="28">
        <v>33.380000000000003</v>
      </c>
      <c r="F125" s="132">
        <v>0</v>
      </c>
      <c r="G125" s="30">
        <f t="shared" si="30"/>
        <v>33.380000000000003</v>
      </c>
      <c r="H125" s="31">
        <v>0</v>
      </c>
      <c r="I125" s="27">
        <f t="shared" si="33"/>
        <v>33.380000000000003</v>
      </c>
      <c r="J125" s="119"/>
      <c r="K125" s="120"/>
      <c r="L125" s="38">
        <v>0</v>
      </c>
      <c r="M125" s="134">
        <v>0</v>
      </c>
      <c r="N125" s="67">
        <f t="shared" si="31"/>
        <v>0</v>
      </c>
      <c r="O125" s="35">
        <v>0</v>
      </c>
      <c r="P125" s="36">
        <f t="shared" si="28"/>
        <v>0</v>
      </c>
      <c r="Q125" s="119"/>
      <c r="R125" s="120"/>
      <c r="S125" s="38">
        <v>66.760000000000005</v>
      </c>
      <c r="T125" s="134">
        <v>0</v>
      </c>
      <c r="U125" s="67">
        <f t="shared" si="32"/>
        <v>66.760000000000005</v>
      </c>
      <c r="V125" s="35">
        <v>0</v>
      </c>
      <c r="W125" s="36">
        <f t="shared" si="29"/>
        <v>66.760000000000005</v>
      </c>
    </row>
    <row r="126" spans="1:23" x14ac:dyDescent="0.25">
      <c r="A126" s="131" t="s">
        <v>253</v>
      </c>
      <c r="B126" s="131" t="s">
        <v>254</v>
      </c>
      <c r="C126" s="119"/>
      <c r="D126" s="120"/>
      <c r="E126" s="28">
        <v>864</v>
      </c>
      <c r="F126" s="132">
        <v>0</v>
      </c>
      <c r="G126" s="30">
        <f t="shared" si="30"/>
        <v>864</v>
      </c>
      <c r="H126" s="31">
        <v>0</v>
      </c>
      <c r="I126" s="27">
        <f t="shared" si="33"/>
        <v>864</v>
      </c>
      <c r="J126" s="119"/>
      <c r="K126" s="120"/>
      <c r="L126" s="38">
        <v>864</v>
      </c>
      <c r="M126" s="134">
        <v>0</v>
      </c>
      <c r="N126" s="67">
        <f t="shared" si="31"/>
        <v>864</v>
      </c>
      <c r="O126" s="35">
        <v>0</v>
      </c>
      <c r="P126" s="36">
        <f t="shared" si="28"/>
        <v>864</v>
      </c>
      <c r="Q126" s="119"/>
      <c r="R126" s="120"/>
      <c r="S126" s="38">
        <v>864</v>
      </c>
      <c r="T126" s="134">
        <v>0</v>
      </c>
      <c r="U126" s="67">
        <f t="shared" si="32"/>
        <v>864</v>
      </c>
      <c r="V126" s="35">
        <v>0</v>
      </c>
      <c r="W126" s="36">
        <f t="shared" si="29"/>
        <v>864</v>
      </c>
    </row>
    <row r="127" spans="1:23" x14ac:dyDescent="0.25">
      <c r="A127" s="130" t="s">
        <v>255</v>
      </c>
      <c r="B127" s="131" t="s">
        <v>256</v>
      </c>
      <c r="C127" s="119"/>
      <c r="D127" s="120"/>
      <c r="E127" s="28">
        <v>0</v>
      </c>
      <c r="F127" s="132">
        <v>0</v>
      </c>
      <c r="G127" s="30">
        <f t="shared" si="30"/>
        <v>0</v>
      </c>
      <c r="H127" s="31">
        <v>0</v>
      </c>
      <c r="I127" s="27">
        <f t="shared" si="33"/>
        <v>0</v>
      </c>
      <c r="J127" s="119"/>
      <c r="K127" s="120"/>
      <c r="L127" s="38">
        <v>0</v>
      </c>
      <c r="M127" s="134">
        <v>0</v>
      </c>
      <c r="N127" s="67">
        <f t="shared" si="31"/>
        <v>0</v>
      </c>
      <c r="O127" s="35">
        <v>0</v>
      </c>
      <c r="P127" s="36">
        <f t="shared" si="28"/>
        <v>0</v>
      </c>
      <c r="Q127" s="119"/>
      <c r="R127" s="120"/>
      <c r="S127" s="38">
        <v>0</v>
      </c>
      <c r="T127" s="134">
        <v>0</v>
      </c>
      <c r="U127" s="67">
        <f t="shared" si="32"/>
        <v>0</v>
      </c>
      <c r="V127" s="35">
        <v>0</v>
      </c>
      <c r="W127" s="36">
        <f t="shared" si="29"/>
        <v>0</v>
      </c>
    </row>
    <row r="128" spans="1:23" x14ac:dyDescent="0.25">
      <c r="A128" s="131" t="s">
        <v>257</v>
      </c>
      <c r="B128" s="131" t="s">
        <v>258</v>
      </c>
      <c r="C128" s="119"/>
      <c r="D128" s="120"/>
      <c r="E128" s="28">
        <v>1104.3</v>
      </c>
      <c r="F128" s="132">
        <v>0</v>
      </c>
      <c r="G128" s="30">
        <f t="shared" si="30"/>
        <v>1104.3</v>
      </c>
      <c r="H128" s="31">
        <v>0</v>
      </c>
      <c r="I128" s="27">
        <f t="shared" si="33"/>
        <v>1104.3</v>
      </c>
      <c r="J128" s="119"/>
      <c r="K128" s="120"/>
      <c r="L128" s="38">
        <v>1104.3</v>
      </c>
      <c r="M128" s="134">
        <v>0</v>
      </c>
      <c r="N128" s="67">
        <f t="shared" si="31"/>
        <v>1104.3</v>
      </c>
      <c r="O128" s="35">
        <v>0</v>
      </c>
      <c r="P128" s="36">
        <f t="shared" si="28"/>
        <v>1104.3</v>
      </c>
      <c r="Q128" s="119"/>
      <c r="R128" s="120"/>
      <c r="S128" s="38">
        <v>1104.3</v>
      </c>
      <c r="T128" s="134">
        <v>0</v>
      </c>
      <c r="U128" s="67">
        <f t="shared" si="32"/>
        <v>1104.3</v>
      </c>
      <c r="V128" s="35">
        <v>0</v>
      </c>
      <c r="W128" s="36">
        <f t="shared" si="29"/>
        <v>1104.3</v>
      </c>
    </row>
    <row r="129" spans="1:23" x14ac:dyDescent="0.25">
      <c r="A129" s="130" t="s">
        <v>259</v>
      </c>
      <c r="B129" s="131" t="s">
        <v>260</v>
      </c>
      <c r="C129" s="119"/>
      <c r="D129" s="120"/>
      <c r="E129" s="28">
        <v>955.46</v>
      </c>
      <c r="F129" s="132">
        <v>0</v>
      </c>
      <c r="G129" s="30">
        <f t="shared" si="30"/>
        <v>955.46</v>
      </c>
      <c r="H129" s="31">
        <v>0</v>
      </c>
      <c r="I129" s="27">
        <f t="shared" si="33"/>
        <v>955.46</v>
      </c>
      <c r="J129" s="119"/>
      <c r="K129" s="120"/>
      <c r="L129" s="38">
        <v>789.87</v>
      </c>
      <c r="M129" s="135">
        <v>0</v>
      </c>
      <c r="N129" s="67">
        <f t="shared" si="31"/>
        <v>789.87</v>
      </c>
      <c r="O129" s="35">
        <v>0</v>
      </c>
      <c r="P129" s="36">
        <f t="shared" si="28"/>
        <v>789.87</v>
      </c>
      <c r="Q129" s="119"/>
      <c r="R129" s="120"/>
      <c r="S129" s="38">
        <v>1032.23</v>
      </c>
      <c r="T129" s="135">
        <v>0</v>
      </c>
      <c r="U129" s="67">
        <f t="shared" si="32"/>
        <v>1032.23</v>
      </c>
      <c r="V129" s="35">
        <v>0</v>
      </c>
      <c r="W129" s="36">
        <f t="shared" si="29"/>
        <v>1032.23</v>
      </c>
    </row>
    <row r="130" spans="1:23" x14ac:dyDescent="0.25">
      <c r="A130" s="130" t="s">
        <v>261</v>
      </c>
      <c r="B130" s="131" t="s">
        <v>262</v>
      </c>
      <c r="C130" s="119"/>
      <c r="D130" s="120"/>
      <c r="E130" s="28">
        <v>0</v>
      </c>
      <c r="F130" s="132">
        <v>32654.17</v>
      </c>
      <c r="G130" s="30">
        <f t="shared" si="30"/>
        <v>32654.17</v>
      </c>
      <c r="H130" s="31">
        <v>0</v>
      </c>
      <c r="I130" s="27">
        <f t="shared" si="33"/>
        <v>32654.17</v>
      </c>
      <c r="J130" s="119"/>
      <c r="K130" s="120"/>
      <c r="L130" s="38">
        <v>0</v>
      </c>
      <c r="M130" s="135">
        <v>29840.37</v>
      </c>
      <c r="N130" s="67">
        <f t="shared" si="31"/>
        <v>29840.37</v>
      </c>
      <c r="O130" s="35">
        <v>0</v>
      </c>
      <c r="P130" s="36">
        <f t="shared" si="28"/>
        <v>29840.37</v>
      </c>
      <c r="Q130" s="119"/>
      <c r="R130" s="120"/>
      <c r="S130" s="38">
        <v>0</v>
      </c>
      <c r="T130" s="135">
        <v>28611.87</v>
      </c>
      <c r="U130" s="67">
        <f t="shared" si="32"/>
        <v>28611.87</v>
      </c>
      <c r="V130" s="35">
        <v>0</v>
      </c>
      <c r="W130" s="36">
        <f t="shared" si="29"/>
        <v>28611.87</v>
      </c>
    </row>
    <row r="131" spans="1:23" x14ac:dyDescent="0.25">
      <c r="A131" s="131" t="s">
        <v>263</v>
      </c>
      <c r="B131" s="131" t="s">
        <v>264</v>
      </c>
      <c r="C131" s="119"/>
      <c r="D131" s="120"/>
      <c r="E131" s="28">
        <v>0</v>
      </c>
      <c r="F131" s="132">
        <v>0</v>
      </c>
      <c r="G131" s="30">
        <f t="shared" si="30"/>
        <v>0</v>
      </c>
      <c r="H131" s="31">
        <v>0</v>
      </c>
      <c r="I131" s="27">
        <f t="shared" si="33"/>
        <v>0</v>
      </c>
      <c r="J131" s="119"/>
      <c r="K131" s="120"/>
      <c r="L131" s="38">
        <v>0</v>
      </c>
      <c r="M131" s="134">
        <v>0</v>
      </c>
      <c r="N131" s="67">
        <f t="shared" si="31"/>
        <v>0</v>
      </c>
      <c r="O131" s="35">
        <v>0</v>
      </c>
      <c r="P131" s="36">
        <f t="shared" si="28"/>
        <v>0</v>
      </c>
      <c r="Q131" s="119"/>
      <c r="R131" s="120"/>
      <c r="S131" s="38">
        <v>0</v>
      </c>
      <c r="T131" s="134">
        <v>0</v>
      </c>
      <c r="U131" s="67">
        <f t="shared" si="32"/>
        <v>0</v>
      </c>
      <c r="V131" s="35">
        <v>0</v>
      </c>
      <c r="W131" s="36">
        <f t="shared" si="29"/>
        <v>0</v>
      </c>
    </row>
    <row r="132" spans="1:23" x14ac:dyDescent="0.25">
      <c r="A132" s="131" t="s">
        <v>265</v>
      </c>
      <c r="B132" s="131" t="s">
        <v>266</v>
      </c>
      <c r="C132" s="119"/>
      <c r="D132" s="120"/>
      <c r="E132" s="28">
        <v>2400.86</v>
      </c>
      <c r="F132" s="132">
        <v>0</v>
      </c>
      <c r="G132" s="30">
        <f t="shared" si="30"/>
        <v>2400.86</v>
      </c>
      <c r="H132" s="31">
        <v>0</v>
      </c>
      <c r="I132" s="27">
        <f t="shared" si="33"/>
        <v>2400.86</v>
      </c>
      <c r="J132" s="119"/>
      <c r="K132" s="120"/>
      <c r="L132" s="38">
        <v>0</v>
      </c>
      <c r="M132" s="134">
        <v>0</v>
      </c>
      <c r="N132" s="67">
        <f t="shared" si="31"/>
        <v>0</v>
      </c>
      <c r="O132" s="35">
        <v>0</v>
      </c>
      <c r="P132" s="36">
        <f t="shared" si="28"/>
        <v>0</v>
      </c>
      <c r="Q132" s="119"/>
      <c r="R132" s="120"/>
      <c r="S132" s="38">
        <v>3186.71</v>
      </c>
      <c r="T132" s="134">
        <v>0</v>
      </c>
      <c r="U132" s="67">
        <f t="shared" si="32"/>
        <v>3186.71</v>
      </c>
      <c r="V132" s="35">
        <v>0</v>
      </c>
      <c r="W132" s="36">
        <f t="shared" si="29"/>
        <v>3186.71</v>
      </c>
    </row>
    <row r="133" spans="1:23" ht="14.45" x14ac:dyDescent="0.3">
      <c r="A133" s="131" t="s">
        <v>267</v>
      </c>
      <c r="B133" s="131" t="s">
        <v>268</v>
      </c>
      <c r="C133" s="119"/>
      <c r="D133" s="120"/>
      <c r="E133" s="28">
        <v>657.04</v>
      </c>
      <c r="F133" s="132">
        <v>0</v>
      </c>
      <c r="G133" s="30">
        <f t="shared" si="30"/>
        <v>657.04</v>
      </c>
      <c r="H133" s="31">
        <v>0</v>
      </c>
      <c r="I133" s="27">
        <f t="shared" si="33"/>
        <v>657.04</v>
      </c>
      <c r="J133" s="119"/>
      <c r="K133" s="120"/>
      <c r="L133" s="38">
        <v>0</v>
      </c>
      <c r="M133" s="134">
        <v>0</v>
      </c>
      <c r="N133" s="67">
        <f t="shared" si="31"/>
        <v>0</v>
      </c>
      <c r="O133" s="35">
        <v>0</v>
      </c>
      <c r="P133" s="36">
        <f t="shared" si="28"/>
        <v>0</v>
      </c>
      <c r="Q133" s="119"/>
      <c r="R133" s="120"/>
      <c r="S133" s="38">
        <v>2836.23</v>
      </c>
      <c r="T133" s="134">
        <v>0</v>
      </c>
      <c r="U133" s="67">
        <f t="shared" si="32"/>
        <v>2836.23</v>
      </c>
      <c r="V133" s="35">
        <v>0</v>
      </c>
      <c r="W133" s="36">
        <f t="shared" si="29"/>
        <v>2836.23</v>
      </c>
    </row>
    <row r="134" spans="1:23" x14ac:dyDescent="0.25">
      <c r="A134" s="131" t="s">
        <v>269</v>
      </c>
      <c r="B134" s="131" t="s">
        <v>270</v>
      </c>
      <c r="C134" s="119"/>
      <c r="D134" s="120"/>
      <c r="E134" s="28">
        <v>93.21</v>
      </c>
      <c r="F134" s="132"/>
      <c r="G134" s="30">
        <f t="shared" si="30"/>
        <v>93.21</v>
      </c>
      <c r="H134" s="31">
        <v>26085.71</v>
      </c>
      <c r="I134" s="27">
        <f t="shared" si="33"/>
        <v>26178.92</v>
      </c>
      <c r="J134" s="119"/>
      <c r="K134" s="120"/>
      <c r="L134" s="38">
        <v>0</v>
      </c>
      <c r="M134" s="135">
        <v>0</v>
      </c>
      <c r="N134" s="67">
        <f t="shared" si="31"/>
        <v>0</v>
      </c>
      <c r="O134" s="35">
        <v>28000</v>
      </c>
      <c r="P134" s="36">
        <f t="shared" si="28"/>
        <v>28000</v>
      </c>
      <c r="Q134" s="119"/>
      <c r="R134" s="120"/>
      <c r="S134" s="38">
        <v>125.66</v>
      </c>
      <c r="T134" s="135">
        <v>0</v>
      </c>
      <c r="U134" s="67">
        <f t="shared" si="32"/>
        <v>125.66</v>
      </c>
      <c r="V134" s="35">
        <v>26127.439999999999</v>
      </c>
      <c r="W134" s="36">
        <f t="shared" si="29"/>
        <v>26253.1</v>
      </c>
    </row>
    <row r="135" spans="1:23" x14ac:dyDescent="0.25">
      <c r="A135" s="131" t="s">
        <v>271</v>
      </c>
      <c r="B135" s="131" t="s">
        <v>272</v>
      </c>
      <c r="C135" s="119"/>
      <c r="D135" s="120"/>
      <c r="E135" s="28">
        <v>0</v>
      </c>
      <c r="F135" s="132">
        <v>0</v>
      </c>
      <c r="G135" s="30">
        <f t="shared" si="30"/>
        <v>0</v>
      </c>
      <c r="H135" s="31">
        <v>0</v>
      </c>
      <c r="I135" s="27">
        <f t="shared" si="33"/>
        <v>0</v>
      </c>
      <c r="J135" s="119"/>
      <c r="K135" s="120"/>
      <c r="L135" s="38">
        <v>0</v>
      </c>
      <c r="M135" s="134">
        <v>0</v>
      </c>
      <c r="N135" s="67">
        <f t="shared" si="31"/>
        <v>0</v>
      </c>
      <c r="O135" s="35">
        <v>0</v>
      </c>
      <c r="P135" s="36">
        <f t="shared" si="28"/>
        <v>0</v>
      </c>
      <c r="Q135" s="119"/>
      <c r="R135" s="120"/>
      <c r="S135" s="38">
        <v>0</v>
      </c>
      <c r="T135" s="134">
        <v>0</v>
      </c>
      <c r="U135" s="67">
        <f t="shared" si="32"/>
        <v>0</v>
      </c>
      <c r="V135" s="35">
        <v>0</v>
      </c>
      <c r="W135" s="36">
        <f t="shared" si="29"/>
        <v>0</v>
      </c>
    </row>
    <row r="136" spans="1:23" x14ac:dyDescent="0.25">
      <c r="A136" s="131" t="s">
        <v>273</v>
      </c>
      <c r="B136" s="131" t="s">
        <v>274</v>
      </c>
      <c r="C136" s="119"/>
      <c r="D136" s="120"/>
      <c r="E136" s="28">
        <v>177.8</v>
      </c>
      <c r="F136" s="132">
        <v>0</v>
      </c>
      <c r="G136" s="30">
        <f t="shared" si="30"/>
        <v>177.8</v>
      </c>
      <c r="H136" s="31">
        <v>0</v>
      </c>
      <c r="I136" s="27">
        <f t="shared" si="33"/>
        <v>177.8</v>
      </c>
      <c r="J136" s="119"/>
      <c r="K136" s="120"/>
      <c r="L136" s="38">
        <v>0</v>
      </c>
      <c r="M136" s="135">
        <v>0</v>
      </c>
      <c r="N136" s="67">
        <f t="shared" si="31"/>
        <v>0</v>
      </c>
      <c r="O136" s="35">
        <v>0</v>
      </c>
      <c r="P136" s="36">
        <f t="shared" si="28"/>
        <v>0</v>
      </c>
      <c r="Q136" s="119"/>
      <c r="R136" s="120"/>
      <c r="S136" s="38">
        <v>0</v>
      </c>
      <c r="T136" s="135">
        <v>0</v>
      </c>
      <c r="U136" s="67">
        <f t="shared" si="32"/>
        <v>0</v>
      </c>
      <c r="V136" s="35">
        <v>0</v>
      </c>
      <c r="W136" s="36">
        <f t="shared" si="29"/>
        <v>0</v>
      </c>
    </row>
    <row r="137" spans="1:23" x14ac:dyDescent="0.25">
      <c r="A137" s="131" t="s">
        <v>275</v>
      </c>
      <c r="B137" s="131" t="s">
        <v>276</v>
      </c>
      <c r="C137" s="119"/>
      <c r="D137" s="120"/>
      <c r="E137" s="28">
        <v>0</v>
      </c>
      <c r="F137" s="132">
        <v>0</v>
      </c>
      <c r="G137" s="30">
        <f t="shared" si="30"/>
        <v>0</v>
      </c>
      <c r="H137" s="31">
        <v>0</v>
      </c>
      <c r="I137" s="27">
        <f t="shared" si="33"/>
        <v>0</v>
      </c>
      <c r="J137" s="119"/>
      <c r="K137" s="120"/>
      <c r="L137" s="38">
        <v>0</v>
      </c>
      <c r="M137" s="135">
        <v>0</v>
      </c>
      <c r="N137" s="67">
        <f t="shared" si="31"/>
        <v>0</v>
      </c>
      <c r="O137" s="35">
        <v>0</v>
      </c>
      <c r="P137" s="36">
        <f t="shared" si="28"/>
        <v>0</v>
      </c>
      <c r="Q137" s="119"/>
      <c r="R137" s="120"/>
      <c r="S137" s="38">
        <v>0</v>
      </c>
      <c r="T137" s="135">
        <v>0</v>
      </c>
      <c r="U137" s="67">
        <f t="shared" si="32"/>
        <v>0</v>
      </c>
      <c r="V137" s="35">
        <v>0</v>
      </c>
      <c r="W137" s="36">
        <f t="shared" si="29"/>
        <v>0</v>
      </c>
    </row>
    <row r="138" spans="1:23" x14ac:dyDescent="0.25">
      <c r="A138" s="131" t="s">
        <v>277</v>
      </c>
      <c r="B138" s="131" t="s">
        <v>278</v>
      </c>
      <c r="C138" s="119"/>
      <c r="D138" s="120"/>
      <c r="E138" s="28">
        <v>0</v>
      </c>
      <c r="F138" s="132">
        <v>0</v>
      </c>
      <c r="G138" s="30">
        <f t="shared" si="30"/>
        <v>0</v>
      </c>
      <c r="H138" s="31">
        <v>0</v>
      </c>
      <c r="I138" s="27">
        <f t="shared" si="33"/>
        <v>0</v>
      </c>
      <c r="J138" s="119"/>
      <c r="K138" s="120"/>
      <c r="L138" s="38">
        <v>0</v>
      </c>
      <c r="M138" s="134">
        <v>0</v>
      </c>
      <c r="N138" s="67">
        <f t="shared" si="31"/>
        <v>0</v>
      </c>
      <c r="O138" s="35">
        <v>0</v>
      </c>
      <c r="P138" s="36">
        <f t="shared" si="28"/>
        <v>0</v>
      </c>
      <c r="Q138" s="119"/>
      <c r="R138" s="120"/>
      <c r="S138" s="38">
        <v>0</v>
      </c>
      <c r="T138" s="134">
        <v>0</v>
      </c>
      <c r="U138" s="67">
        <f t="shared" si="32"/>
        <v>0</v>
      </c>
      <c r="V138" s="35">
        <v>0</v>
      </c>
      <c r="W138" s="36">
        <f t="shared" si="29"/>
        <v>0</v>
      </c>
    </row>
    <row r="139" spans="1:23" x14ac:dyDescent="0.25">
      <c r="A139" s="131" t="s">
        <v>279</v>
      </c>
      <c r="B139" s="131" t="s">
        <v>280</v>
      </c>
      <c r="C139" s="119"/>
      <c r="D139" s="120"/>
      <c r="E139" s="28">
        <v>0</v>
      </c>
      <c r="F139" s="132">
        <v>339712.02</v>
      </c>
      <c r="G139" s="30">
        <f t="shared" si="30"/>
        <v>339712.02</v>
      </c>
      <c r="H139" s="31">
        <v>0</v>
      </c>
      <c r="I139" s="27">
        <f t="shared" si="33"/>
        <v>339712.02</v>
      </c>
      <c r="J139" s="119"/>
      <c r="K139" s="120"/>
      <c r="L139" s="38">
        <v>0</v>
      </c>
      <c r="M139" s="135">
        <v>352116.42</v>
      </c>
      <c r="N139" s="67">
        <f t="shared" si="31"/>
        <v>352116.42</v>
      </c>
      <c r="O139" s="35">
        <v>0</v>
      </c>
      <c r="P139" s="36">
        <f t="shared" si="28"/>
        <v>352116.42</v>
      </c>
      <c r="Q139" s="119"/>
      <c r="R139" s="120"/>
      <c r="S139" s="38">
        <v>0</v>
      </c>
      <c r="T139" s="135">
        <v>304888.08</v>
      </c>
      <c r="U139" s="67">
        <f t="shared" si="32"/>
        <v>304888.08</v>
      </c>
      <c r="V139" s="35">
        <v>0</v>
      </c>
      <c r="W139" s="36">
        <f t="shared" si="29"/>
        <v>304888.08</v>
      </c>
    </row>
    <row r="140" spans="1:23" x14ac:dyDescent="0.25">
      <c r="A140" s="131" t="s">
        <v>281</v>
      </c>
      <c r="B140" s="131" t="s">
        <v>282</v>
      </c>
      <c r="C140" s="119"/>
      <c r="D140" s="120"/>
      <c r="E140" s="28">
        <v>18007.54</v>
      </c>
      <c r="F140" s="132">
        <v>0</v>
      </c>
      <c r="G140" s="30">
        <f t="shared" si="30"/>
        <v>18007.54</v>
      </c>
      <c r="H140" s="31">
        <v>13692.69</v>
      </c>
      <c r="I140" s="27">
        <f t="shared" si="33"/>
        <v>31700.230000000003</v>
      </c>
      <c r="J140" s="119"/>
      <c r="K140" s="120"/>
      <c r="L140" s="38">
        <v>22531</v>
      </c>
      <c r="M140" s="134">
        <v>0</v>
      </c>
      <c r="N140" s="67">
        <f t="shared" si="31"/>
        <v>22531</v>
      </c>
      <c r="O140" s="35">
        <v>33000</v>
      </c>
      <c r="P140" s="36">
        <f t="shared" si="28"/>
        <v>55531</v>
      </c>
      <c r="Q140" s="119"/>
      <c r="R140" s="120"/>
      <c r="S140" s="38">
        <v>18996.96</v>
      </c>
      <c r="T140" s="134">
        <v>0</v>
      </c>
      <c r="U140" s="67">
        <f t="shared" si="32"/>
        <v>18996.96</v>
      </c>
      <c r="V140" s="35">
        <v>10767.7</v>
      </c>
      <c r="W140" s="36">
        <f t="shared" si="29"/>
        <v>29764.66</v>
      </c>
    </row>
    <row r="141" spans="1:23" x14ac:dyDescent="0.25">
      <c r="A141" s="131" t="s">
        <v>283</v>
      </c>
      <c r="B141" s="131" t="s">
        <v>284</v>
      </c>
      <c r="C141" s="119"/>
      <c r="D141" s="120"/>
      <c r="E141" s="28">
        <v>22835.66</v>
      </c>
      <c r="F141" s="132">
        <v>0</v>
      </c>
      <c r="G141" s="30">
        <f t="shared" si="30"/>
        <v>22835.66</v>
      </c>
      <c r="H141" s="31">
        <v>7022.6</v>
      </c>
      <c r="I141" s="27">
        <f t="shared" si="33"/>
        <v>29858.260000000002</v>
      </c>
      <c r="J141" s="119"/>
      <c r="K141" s="120"/>
      <c r="L141" s="38">
        <v>25878</v>
      </c>
      <c r="M141" s="134">
        <v>0</v>
      </c>
      <c r="N141" s="67">
        <f t="shared" si="31"/>
        <v>25878</v>
      </c>
      <c r="O141" s="35">
        <v>0</v>
      </c>
      <c r="P141" s="36">
        <f t="shared" si="28"/>
        <v>25878</v>
      </c>
      <c r="Q141" s="119"/>
      <c r="R141" s="120"/>
      <c r="S141" s="38">
        <v>15182.53</v>
      </c>
      <c r="T141" s="134">
        <v>0</v>
      </c>
      <c r="U141" s="67">
        <f t="shared" si="32"/>
        <v>15182.53</v>
      </c>
      <c r="V141" s="35">
        <v>6371.18</v>
      </c>
      <c r="W141" s="36">
        <f t="shared" si="29"/>
        <v>21553.71</v>
      </c>
    </row>
    <row r="142" spans="1:23" x14ac:dyDescent="0.25">
      <c r="A142" s="131" t="s">
        <v>285</v>
      </c>
      <c r="B142" s="131" t="s">
        <v>286</v>
      </c>
      <c r="C142" s="119"/>
      <c r="D142" s="120"/>
      <c r="E142" s="28">
        <v>11540.4</v>
      </c>
      <c r="F142" s="132">
        <v>0</v>
      </c>
      <c r="G142" s="30">
        <f t="shared" si="30"/>
        <v>11540.4</v>
      </c>
      <c r="H142" s="31">
        <v>12562.81</v>
      </c>
      <c r="I142" s="27">
        <f t="shared" si="33"/>
        <v>24103.21</v>
      </c>
      <c r="J142" s="119"/>
      <c r="K142" s="120"/>
      <c r="L142" s="38">
        <v>11762</v>
      </c>
      <c r="M142" s="134">
        <v>0</v>
      </c>
      <c r="N142" s="67">
        <f t="shared" si="31"/>
        <v>11762</v>
      </c>
      <c r="O142" s="35">
        <v>0</v>
      </c>
      <c r="P142" s="36">
        <f t="shared" si="28"/>
        <v>11762</v>
      </c>
      <c r="Q142" s="119"/>
      <c r="R142" s="120"/>
      <c r="S142" s="38">
        <v>11762</v>
      </c>
      <c r="T142" s="134">
        <v>0</v>
      </c>
      <c r="U142" s="67">
        <f t="shared" si="32"/>
        <v>11762</v>
      </c>
      <c r="V142" s="35">
        <v>9407.9500000000007</v>
      </c>
      <c r="W142" s="36">
        <f t="shared" si="29"/>
        <v>21169.95</v>
      </c>
    </row>
    <row r="143" spans="1:23" x14ac:dyDescent="0.25">
      <c r="A143" s="131" t="s">
        <v>287</v>
      </c>
      <c r="B143" s="131" t="s">
        <v>288</v>
      </c>
      <c r="C143" s="119"/>
      <c r="D143" s="120"/>
      <c r="E143" s="28">
        <v>18562.86</v>
      </c>
      <c r="F143" s="132">
        <v>830.08</v>
      </c>
      <c r="G143" s="30">
        <f t="shared" si="30"/>
        <v>19392.940000000002</v>
      </c>
      <c r="H143" s="31">
        <v>0</v>
      </c>
      <c r="I143" s="27">
        <f t="shared" si="33"/>
        <v>19392.940000000002</v>
      </c>
      <c r="J143" s="119"/>
      <c r="K143" s="120"/>
      <c r="L143" s="38">
        <v>18829</v>
      </c>
      <c r="M143" s="134">
        <v>0</v>
      </c>
      <c r="N143" s="67">
        <f t="shared" si="31"/>
        <v>18829</v>
      </c>
      <c r="O143" s="35">
        <v>0</v>
      </c>
      <c r="P143" s="36">
        <f t="shared" si="28"/>
        <v>18829</v>
      </c>
      <c r="Q143" s="119"/>
      <c r="R143" s="120"/>
      <c r="S143" s="38">
        <v>19698.009999999998</v>
      </c>
      <c r="T143" s="134">
        <v>113.2</v>
      </c>
      <c r="U143" s="67">
        <f t="shared" si="32"/>
        <v>19811.21</v>
      </c>
      <c r="V143" s="35">
        <v>0</v>
      </c>
      <c r="W143" s="36">
        <f t="shared" si="29"/>
        <v>19811.21</v>
      </c>
    </row>
    <row r="144" spans="1:23" ht="14.45" x14ac:dyDescent="0.3">
      <c r="A144" s="131" t="s">
        <v>289</v>
      </c>
      <c r="B144" s="131" t="s">
        <v>290</v>
      </c>
      <c r="C144" s="119"/>
      <c r="D144" s="120"/>
      <c r="E144" s="28">
        <v>0</v>
      </c>
      <c r="F144" s="132">
        <v>0</v>
      </c>
      <c r="G144" s="30">
        <f t="shared" si="30"/>
        <v>0</v>
      </c>
      <c r="H144" s="31">
        <v>0</v>
      </c>
      <c r="I144" s="27">
        <f t="shared" si="33"/>
        <v>0</v>
      </c>
      <c r="J144" s="119"/>
      <c r="K144" s="120"/>
      <c r="L144" s="38">
        <v>0</v>
      </c>
      <c r="M144" s="134">
        <v>0</v>
      </c>
      <c r="N144" s="67">
        <f t="shared" si="31"/>
        <v>0</v>
      </c>
      <c r="O144" s="35">
        <v>0</v>
      </c>
      <c r="P144" s="36">
        <f t="shared" si="28"/>
        <v>0</v>
      </c>
      <c r="Q144" s="119"/>
      <c r="R144" s="120"/>
      <c r="S144" s="38">
        <v>0</v>
      </c>
      <c r="T144" s="134">
        <v>0</v>
      </c>
      <c r="U144" s="67">
        <f t="shared" si="32"/>
        <v>0</v>
      </c>
      <c r="V144" s="35">
        <v>0</v>
      </c>
      <c r="W144" s="36">
        <f t="shared" si="29"/>
        <v>0</v>
      </c>
    </row>
    <row r="145" spans="1:24" ht="14.45" x14ac:dyDescent="0.3">
      <c r="A145" s="131" t="s">
        <v>291</v>
      </c>
      <c r="B145" s="131" t="s">
        <v>292</v>
      </c>
      <c r="C145" s="119"/>
      <c r="D145" s="120"/>
      <c r="E145" s="28">
        <v>50</v>
      </c>
      <c r="F145" s="132">
        <v>0</v>
      </c>
      <c r="G145" s="30">
        <f t="shared" si="30"/>
        <v>50</v>
      </c>
      <c r="H145" s="31">
        <v>115.2</v>
      </c>
      <c r="I145" s="27">
        <f t="shared" si="33"/>
        <v>165.2</v>
      </c>
      <c r="J145" s="119"/>
      <c r="K145" s="120"/>
      <c r="L145" s="38">
        <v>2500</v>
      </c>
      <c r="M145" s="134">
        <v>0</v>
      </c>
      <c r="N145" s="67">
        <f t="shared" si="31"/>
        <v>2500</v>
      </c>
      <c r="O145" s="35">
        <v>0</v>
      </c>
      <c r="P145" s="36">
        <f t="shared" si="28"/>
        <v>2500</v>
      </c>
      <c r="Q145" s="119"/>
      <c r="R145" s="120"/>
      <c r="S145" s="38">
        <v>316</v>
      </c>
      <c r="T145" s="134">
        <v>0</v>
      </c>
      <c r="U145" s="67">
        <f t="shared" si="32"/>
        <v>316</v>
      </c>
      <c r="V145" s="35">
        <v>66.59</v>
      </c>
      <c r="W145" s="36">
        <f t="shared" si="29"/>
        <v>382.59000000000003</v>
      </c>
    </row>
    <row r="146" spans="1:24" x14ac:dyDescent="0.25">
      <c r="A146" s="131" t="s">
        <v>293</v>
      </c>
      <c r="B146" s="131" t="s">
        <v>294</v>
      </c>
      <c r="C146" s="119"/>
      <c r="D146" s="120"/>
      <c r="E146" s="28">
        <v>10695.84</v>
      </c>
      <c r="F146" s="132">
        <v>0</v>
      </c>
      <c r="G146" s="30">
        <f t="shared" si="30"/>
        <v>10695.84</v>
      </c>
      <c r="H146" s="31">
        <v>0</v>
      </c>
      <c r="I146" s="27">
        <f t="shared" si="33"/>
        <v>10695.84</v>
      </c>
      <c r="J146" s="119"/>
      <c r="K146" s="120"/>
      <c r="L146" s="38">
        <v>10500</v>
      </c>
      <c r="M146" s="134">
        <v>0</v>
      </c>
      <c r="N146" s="67">
        <f t="shared" si="31"/>
        <v>10500</v>
      </c>
      <c r="O146" s="35">
        <v>0</v>
      </c>
      <c r="P146" s="36">
        <f t="shared" si="28"/>
        <v>10500</v>
      </c>
      <c r="Q146" s="119"/>
      <c r="R146" s="120"/>
      <c r="S146" s="38">
        <v>7069.11</v>
      </c>
      <c r="T146" s="134">
        <v>0</v>
      </c>
      <c r="U146" s="67">
        <f t="shared" si="32"/>
        <v>7069.11</v>
      </c>
      <c r="V146" s="35">
        <v>0</v>
      </c>
      <c r="W146" s="36">
        <f t="shared" si="29"/>
        <v>7069.11</v>
      </c>
    </row>
    <row r="147" spans="1:24" x14ac:dyDescent="0.25">
      <c r="A147" s="131" t="s">
        <v>295</v>
      </c>
      <c r="B147" s="131" t="s">
        <v>296</v>
      </c>
      <c r="C147" s="119"/>
      <c r="D147" s="120"/>
      <c r="E147" s="28">
        <v>0</v>
      </c>
      <c r="F147" s="132">
        <v>0</v>
      </c>
      <c r="G147" s="30">
        <f t="shared" si="30"/>
        <v>0</v>
      </c>
      <c r="H147" s="31">
        <v>0</v>
      </c>
      <c r="I147" s="27">
        <f t="shared" si="33"/>
        <v>0</v>
      </c>
      <c r="J147" s="119"/>
      <c r="K147" s="120"/>
      <c r="L147" s="38">
        <v>3195.95</v>
      </c>
      <c r="M147" s="134">
        <v>0</v>
      </c>
      <c r="N147" s="67">
        <f t="shared" si="31"/>
        <v>3195.95</v>
      </c>
      <c r="O147" s="35">
        <v>0</v>
      </c>
      <c r="P147" s="36">
        <f t="shared" si="28"/>
        <v>3195.95</v>
      </c>
      <c r="Q147" s="119"/>
      <c r="R147" s="120"/>
      <c r="S147" s="38">
        <v>0</v>
      </c>
      <c r="T147" s="134">
        <v>0</v>
      </c>
      <c r="U147" s="67">
        <f t="shared" si="32"/>
        <v>0</v>
      </c>
      <c r="V147" s="35">
        <v>0</v>
      </c>
      <c r="W147" s="36">
        <f t="shared" si="29"/>
        <v>0</v>
      </c>
    </row>
    <row r="148" spans="1:24" x14ac:dyDescent="0.25">
      <c r="A148" s="131" t="s">
        <v>297</v>
      </c>
      <c r="B148" s="131" t="s">
        <v>298</v>
      </c>
      <c r="C148" s="119"/>
      <c r="D148" s="120"/>
      <c r="E148" s="28">
        <v>6485.56</v>
      </c>
      <c r="F148" s="132">
        <v>0</v>
      </c>
      <c r="G148" s="30">
        <f t="shared" si="30"/>
        <v>6485.56</v>
      </c>
      <c r="H148" s="31">
        <v>0</v>
      </c>
      <c r="I148" s="27">
        <f t="shared" si="33"/>
        <v>6485.56</v>
      </c>
      <c r="J148" s="119"/>
      <c r="K148" s="120"/>
      <c r="L148" s="38">
        <v>5400</v>
      </c>
      <c r="M148" s="134">
        <v>0</v>
      </c>
      <c r="N148" s="67">
        <f t="shared" si="31"/>
        <v>5400</v>
      </c>
      <c r="O148" s="35">
        <v>0</v>
      </c>
      <c r="P148" s="36">
        <f t="shared" si="28"/>
        <v>5400</v>
      </c>
      <c r="Q148" s="119"/>
      <c r="R148" s="120"/>
      <c r="S148" s="38">
        <v>5543.38</v>
      </c>
      <c r="T148" s="134">
        <v>0</v>
      </c>
      <c r="U148" s="67">
        <f t="shared" si="32"/>
        <v>5543.38</v>
      </c>
      <c r="V148" s="35">
        <v>0</v>
      </c>
      <c r="W148" s="36">
        <f t="shared" si="29"/>
        <v>5543.38</v>
      </c>
    </row>
    <row r="149" spans="1:24" x14ac:dyDescent="0.25">
      <c r="A149" s="131" t="s">
        <v>299</v>
      </c>
      <c r="B149" s="131" t="s">
        <v>300</v>
      </c>
      <c r="C149" s="119"/>
      <c r="D149" s="120"/>
      <c r="E149" s="28">
        <v>17775.150000000001</v>
      </c>
      <c r="F149" s="132">
        <v>0</v>
      </c>
      <c r="G149" s="30">
        <f t="shared" si="30"/>
        <v>17775.150000000001</v>
      </c>
      <c r="H149" s="31">
        <v>0</v>
      </c>
      <c r="I149" s="27">
        <f t="shared" si="33"/>
        <v>17775.150000000001</v>
      </c>
      <c r="J149" s="119"/>
      <c r="K149" s="120"/>
      <c r="L149" s="38">
        <v>14514.42</v>
      </c>
      <c r="M149" s="134">
        <v>0</v>
      </c>
      <c r="N149" s="67">
        <f t="shared" si="31"/>
        <v>14514.42</v>
      </c>
      <c r="O149" s="35">
        <v>0</v>
      </c>
      <c r="P149" s="36">
        <f t="shared" si="28"/>
        <v>14514.42</v>
      </c>
      <c r="Q149" s="119"/>
      <c r="R149" s="120"/>
      <c r="S149" s="38">
        <v>16784.14</v>
      </c>
      <c r="T149" s="134">
        <v>0</v>
      </c>
      <c r="U149" s="67">
        <f t="shared" si="32"/>
        <v>16784.14</v>
      </c>
      <c r="V149" s="35">
        <v>0</v>
      </c>
      <c r="W149" s="36">
        <f t="shared" si="29"/>
        <v>16784.14</v>
      </c>
    </row>
    <row r="150" spans="1:24" x14ac:dyDescent="0.25">
      <c r="A150" s="131" t="s">
        <v>301</v>
      </c>
      <c r="B150" s="131" t="s">
        <v>302</v>
      </c>
      <c r="C150" s="119"/>
      <c r="D150" s="120"/>
      <c r="E150" s="28">
        <v>5804.28</v>
      </c>
      <c r="F150" s="132">
        <v>0</v>
      </c>
      <c r="G150" s="30">
        <f t="shared" si="30"/>
        <v>5804.28</v>
      </c>
      <c r="H150" s="31">
        <v>0</v>
      </c>
      <c r="I150" s="27">
        <f t="shared" si="33"/>
        <v>5804.28</v>
      </c>
      <c r="J150" s="119"/>
      <c r="K150" s="120"/>
      <c r="L150" s="38">
        <v>7000</v>
      </c>
      <c r="M150" s="134">
        <v>0</v>
      </c>
      <c r="N150" s="67">
        <f t="shared" si="31"/>
        <v>7000</v>
      </c>
      <c r="O150" s="35">
        <v>0</v>
      </c>
      <c r="P150" s="36">
        <f t="shared" si="28"/>
        <v>7000</v>
      </c>
      <c r="Q150" s="119"/>
      <c r="R150" s="120"/>
      <c r="S150" s="38">
        <v>5476.45</v>
      </c>
      <c r="T150" s="134">
        <v>0</v>
      </c>
      <c r="U150" s="67">
        <f t="shared" si="32"/>
        <v>5476.45</v>
      </c>
      <c r="V150" s="35">
        <v>0</v>
      </c>
      <c r="W150" s="36">
        <f t="shared" si="29"/>
        <v>5476.45</v>
      </c>
    </row>
    <row r="151" spans="1:24" x14ac:dyDescent="0.25">
      <c r="A151" s="131" t="s">
        <v>303</v>
      </c>
      <c r="B151" s="131" t="s">
        <v>304</v>
      </c>
      <c r="C151" s="119"/>
      <c r="D151" s="120"/>
      <c r="E151" s="28">
        <v>9817.1</v>
      </c>
      <c r="F151" s="132">
        <v>0</v>
      </c>
      <c r="G151" s="30">
        <f t="shared" si="30"/>
        <v>9817.1</v>
      </c>
      <c r="H151" s="31">
        <v>0</v>
      </c>
      <c r="I151" s="27">
        <f t="shared" si="33"/>
        <v>9817.1</v>
      </c>
      <c r="J151" s="119"/>
      <c r="K151" s="120"/>
      <c r="L151" s="38">
        <v>10565.61</v>
      </c>
      <c r="M151" s="134">
        <v>0</v>
      </c>
      <c r="N151" s="67">
        <f t="shared" si="31"/>
        <v>10565.61</v>
      </c>
      <c r="O151" s="35">
        <v>0</v>
      </c>
      <c r="P151" s="36">
        <f t="shared" si="28"/>
        <v>10565.61</v>
      </c>
      <c r="Q151" s="119"/>
      <c r="R151" s="120"/>
      <c r="S151" s="38">
        <v>11405.82</v>
      </c>
      <c r="T151" s="134">
        <v>0</v>
      </c>
      <c r="U151" s="67">
        <f t="shared" si="32"/>
        <v>11405.82</v>
      </c>
      <c r="V151" s="35">
        <v>0</v>
      </c>
      <c r="W151" s="36">
        <f t="shared" si="29"/>
        <v>11405.82</v>
      </c>
    </row>
    <row r="152" spans="1:24" ht="14.45" x14ac:dyDescent="0.3">
      <c r="A152" s="131" t="s">
        <v>305</v>
      </c>
      <c r="B152" s="131" t="s">
        <v>306</v>
      </c>
      <c r="C152" s="119"/>
      <c r="D152" s="120"/>
      <c r="E152" s="28">
        <v>7082.01</v>
      </c>
      <c r="F152" s="132">
        <v>0</v>
      </c>
      <c r="G152" s="30">
        <f t="shared" si="30"/>
        <v>7082.01</v>
      </c>
      <c r="H152" s="31">
        <v>0</v>
      </c>
      <c r="I152" s="27">
        <f t="shared" si="33"/>
        <v>7082.01</v>
      </c>
      <c r="J152" s="119"/>
      <c r="K152" s="120"/>
      <c r="L152" s="38">
        <v>5000</v>
      </c>
      <c r="M152" s="134">
        <v>0</v>
      </c>
      <c r="N152" s="67">
        <f t="shared" si="31"/>
        <v>5000</v>
      </c>
      <c r="O152" s="35">
        <v>0</v>
      </c>
      <c r="P152" s="36">
        <f t="shared" si="28"/>
        <v>5000</v>
      </c>
      <c r="Q152" s="119"/>
      <c r="R152" s="120"/>
      <c r="S152" s="38">
        <v>7160.54</v>
      </c>
      <c r="T152" s="134">
        <v>0</v>
      </c>
      <c r="U152" s="67">
        <f t="shared" si="32"/>
        <v>7160.54</v>
      </c>
      <c r="V152" s="35">
        <v>0</v>
      </c>
      <c r="W152" s="36">
        <f t="shared" si="29"/>
        <v>7160.54</v>
      </c>
    </row>
    <row r="153" spans="1:24" x14ac:dyDescent="0.25">
      <c r="A153" s="131" t="s">
        <v>307</v>
      </c>
      <c r="B153" s="131" t="s">
        <v>308</v>
      </c>
      <c r="C153" s="119"/>
      <c r="D153" s="120"/>
      <c r="E153" s="28">
        <v>0</v>
      </c>
      <c r="F153" s="132">
        <v>0</v>
      </c>
      <c r="G153" s="30">
        <f t="shared" si="30"/>
        <v>0</v>
      </c>
      <c r="H153" s="31">
        <v>0</v>
      </c>
      <c r="I153" s="27">
        <f t="shared" si="33"/>
        <v>0</v>
      </c>
      <c r="J153" s="119"/>
      <c r="K153" s="120"/>
      <c r="L153" s="38">
        <v>108.13</v>
      </c>
      <c r="M153" s="134">
        <v>0</v>
      </c>
      <c r="N153" s="67">
        <f t="shared" si="31"/>
        <v>108.13</v>
      </c>
      <c r="O153" s="35">
        <v>0</v>
      </c>
      <c r="P153" s="36">
        <f t="shared" si="28"/>
        <v>108.13</v>
      </c>
      <c r="Q153" s="119"/>
      <c r="R153" s="120"/>
      <c r="S153" s="38">
        <v>0</v>
      </c>
      <c r="T153" s="134">
        <v>0</v>
      </c>
      <c r="U153" s="67">
        <f t="shared" si="32"/>
        <v>0</v>
      </c>
      <c r="V153" s="35">
        <v>0</v>
      </c>
      <c r="W153" s="36">
        <f t="shared" si="29"/>
        <v>0</v>
      </c>
    </row>
    <row r="154" spans="1:24" x14ac:dyDescent="0.25">
      <c r="A154" s="130" t="s">
        <v>309</v>
      </c>
      <c r="B154" s="131" t="s">
        <v>310</v>
      </c>
      <c r="C154" s="119"/>
      <c r="D154" s="120"/>
      <c r="E154" s="28">
        <v>0</v>
      </c>
      <c r="F154" s="132">
        <v>0</v>
      </c>
      <c r="G154" s="30">
        <f t="shared" si="30"/>
        <v>0</v>
      </c>
      <c r="H154" s="31">
        <v>0</v>
      </c>
      <c r="I154" s="27">
        <f t="shared" si="33"/>
        <v>0</v>
      </c>
      <c r="J154" s="119"/>
      <c r="K154" s="120"/>
      <c r="L154" s="38">
        <v>1422.4</v>
      </c>
      <c r="M154" s="135">
        <v>0</v>
      </c>
      <c r="N154" s="67">
        <f t="shared" si="31"/>
        <v>1422.4</v>
      </c>
      <c r="O154" s="35">
        <v>0</v>
      </c>
      <c r="P154" s="36">
        <f t="shared" si="28"/>
        <v>1422.4</v>
      </c>
      <c r="Q154" s="119"/>
      <c r="R154" s="120"/>
      <c r="S154" s="38">
        <v>0</v>
      </c>
      <c r="T154" s="135">
        <v>0</v>
      </c>
      <c r="U154" s="67">
        <f t="shared" si="32"/>
        <v>0</v>
      </c>
      <c r="V154" s="35">
        <v>0</v>
      </c>
      <c r="W154" s="36">
        <f t="shared" si="29"/>
        <v>0</v>
      </c>
    </row>
    <row r="155" spans="1:24" x14ac:dyDescent="0.25">
      <c r="A155" s="131" t="s">
        <v>311</v>
      </c>
      <c r="B155" s="131" t="s">
        <v>312</v>
      </c>
      <c r="C155" s="119"/>
      <c r="D155" s="120"/>
      <c r="E155" s="28">
        <v>13702.61</v>
      </c>
      <c r="F155" s="132">
        <v>0</v>
      </c>
      <c r="G155" s="30">
        <f t="shared" si="30"/>
        <v>13702.61</v>
      </c>
      <c r="H155" s="31">
        <v>0</v>
      </c>
      <c r="I155" s="27">
        <f t="shared" si="33"/>
        <v>13702.61</v>
      </c>
      <c r="J155" s="119"/>
      <c r="K155" s="120"/>
      <c r="L155" s="38">
        <v>12000</v>
      </c>
      <c r="M155" s="135">
        <v>0</v>
      </c>
      <c r="N155" s="67">
        <f t="shared" si="31"/>
        <v>12000</v>
      </c>
      <c r="O155" s="35">
        <v>0</v>
      </c>
      <c r="P155" s="36">
        <f t="shared" si="28"/>
        <v>12000</v>
      </c>
      <c r="Q155" s="119"/>
      <c r="R155" s="120"/>
      <c r="S155" s="38">
        <v>15771.54</v>
      </c>
      <c r="T155" s="135">
        <v>0</v>
      </c>
      <c r="U155" s="67">
        <f t="shared" si="32"/>
        <v>15771.54</v>
      </c>
      <c r="V155" s="35">
        <v>0</v>
      </c>
      <c r="W155" s="36">
        <f t="shared" si="29"/>
        <v>15771.54</v>
      </c>
    </row>
    <row r="156" spans="1:24" x14ac:dyDescent="0.25">
      <c r="A156" s="131" t="s">
        <v>313</v>
      </c>
      <c r="B156" s="131" t="s">
        <v>314</v>
      </c>
      <c r="C156" s="119"/>
      <c r="D156" s="120"/>
      <c r="E156" s="28">
        <v>113202.91</v>
      </c>
      <c r="F156" s="132">
        <v>0</v>
      </c>
      <c r="G156" s="30">
        <f t="shared" si="30"/>
        <v>113202.91</v>
      </c>
      <c r="H156" s="31">
        <v>0</v>
      </c>
      <c r="I156" s="27">
        <f t="shared" si="33"/>
        <v>113202.91</v>
      </c>
      <c r="J156" s="119"/>
      <c r="K156" s="120"/>
      <c r="L156" s="38">
        <v>117500</v>
      </c>
      <c r="M156" s="134">
        <v>0</v>
      </c>
      <c r="N156" s="67">
        <f t="shared" si="31"/>
        <v>117500</v>
      </c>
      <c r="O156" s="35">
        <v>0</v>
      </c>
      <c r="P156" s="36">
        <f t="shared" si="28"/>
        <v>117500</v>
      </c>
      <c r="Q156" s="119"/>
      <c r="R156" s="120"/>
      <c r="S156" s="38">
        <v>112430.39999999999</v>
      </c>
      <c r="T156" s="134">
        <v>0</v>
      </c>
      <c r="U156" s="67">
        <f t="shared" si="32"/>
        <v>112430.39999999999</v>
      </c>
      <c r="V156" s="35">
        <v>0</v>
      </c>
      <c r="W156" s="36">
        <f t="shared" si="29"/>
        <v>112430.39999999999</v>
      </c>
      <c r="X156" s="26"/>
    </row>
    <row r="157" spans="1:24" ht="14.45" x14ac:dyDescent="0.3">
      <c r="A157" s="131" t="s">
        <v>315</v>
      </c>
      <c r="B157" s="131" t="s">
        <v>316</v>
      </c>
      <c r="C157" s="119"/>
      <c r="D157" s="120"/>
      <c r="E157" s="28">
        <v>0</v>
      </c>
      <c r="F157" s="132">
        <v>205663.1</v>
      </c>
      <c r="G157" s="30">
        <f t="shared" si="30"/>
        <v>205663.1</v>
      </c>
      <c r="H157" s="31">
        <v>0</v>
      </c>
      <c r="I157" s="27">
        <f t="shared" si="33"/>
        <v>205663.1</v>
      </c>
      <c r="J157" s="119"/>
      <c r="K157" s="120"/>
      <c r="L157" s="38">
        <v>0</v>
      </c>
      <c r="M157" s="135">
        <v>214850.7</v>
      </c>
      <c r="N157" s="67">
        <f t="shared" si="31"/>
        <v>214850.7</v>
      </c>
      <c r="O157" s="35">
        <v>0</v>
      </c>
      <c r="P157" s="36">
        <f t="shared" si="28"/>
        <v>214850.7</v>
      </c>
      <c r="Q157" s="119"/>
      <c r="R157" s="120"/>
      <c r="S157" s="38">
        <v>0</v>
      </c>
      <c r="T157" s="135">
        <v>212147.55</v>
      </c>
      <c r="U157" s="67">
        <f t="shared" si="32"/>
        <v>212147.55</v>
      </c>
      <c r="V157" s="35">
        <v>0</v>
      </c>
      <c r="W157" s="36">
        <f t="shared" si="29"/>
        <v>212147.55</v>
      </c>
    </row>
    <row r="158" spans="1:24" x14ac:dyDescent="0.25">
      <c r="A158" s="131" t="s">
        <v>317</v>
      </c>
      <c r="B158" s="131" t="s">
        <v>318</v>
      </c>
      <c r="C158" s="119"/>
      <c r="D158" s="120"/>
      <c r="E158" s="28">
        <v>0</v>
      </c>
      <c r="F158" s="132">
        <v>8123.43</v>
      </c>
      <c r="G158" s="30">
        <f t="shared" si="30"/>
        <v>8123.43</v>
      </c>
      <c r="H158" s="31">
        <v>0</v>
      </c>
      <c r="I158" s="27">
        <f t="shared" si="33"/>
        <v>8123.43</v>
      </c>
      <c r="J158" s="119"/>
      <c r="K158" s="120"/>
      <c r="L158" s="38">
        <v>0</v>
      </c>
      <c r="M158" s="135">
        <v>4718.49</v>
      </c>
      <c r="N158" s="67">
        <f t="shared" si="31"/>
        <v>4718.49</v>
      </c>
      <c r="O158" s="35">
        <v>0</v>
      </c>
      <c r="P158" s="36">
        <f t="shared" si="28"/>
        <v>4718.49</v>
      </c>
      <c r="Q158" s="119"/>
      <c r="R158" s="120"/>
      <c r="S158" s="38">
        <v>0</v>
      </c>
      <c r="T158" s="135">
        <v>8580.35</v>
      </c>
      <c r="U158" s="67">
        <f t="shared" si="32"/>
        <v>8580.35</v>
      </c>
      <c r="V158" s="35">
        <v>0</v>
      </c>
      <c r="W158" s="36">
        <f t="shared" si="29"/>
        <v>8580.35</v>
      </c>
    </row>
    <row r="159" spans="1:24" x14ac:dyDescent="0.25">
      <c r="A159" s="131" t="s">
        <v>319</v>
      </c>
      <c r="B159" s="131" t="s">
        <v>320</v>
      </c>
      <c r="C159" s="119"/>
      <c r="D159" s="120"/>
      <c r="E159" s="28">
        <v>0</v>
      </c>
      <c r="F159" s="132">
        <v>0</v>
      </c>
      <c r="G159" s="30">
        <f t="shared" si="30"/>
        <v>0</v>
      </c>
      <c r="H159" s="31">
        <v>0</v>
      </c>
      <c r="I159" s="27">
        <f t="shared" si="33"/>
        <v>0</v>
      </c>
      <c r="J159" s="119"/>
      <c r="K159" s="120"/>
      <c r="L159" s="38">
        <v>0</v>
      </c>
      <c r="M159" s="134">
        <v>0</v>
      </c>
      <c r="N159" s="67">
        <f t="shared" si="31"/>
        <v>0</v>
      </c>
      <c r="O159" s="35">
        <v>0</v>
      </c>
      <c r="P159" s="36">
        <f t="shared" si="28"/>
        <v>0</v>
      </c>
      <c r="Q159" s="119"/>
      <c r="R159" s="120"/>
      <c r="S159" s="38">
        <v>0</v>
      </c>
      <c r="T159" s="134">
        <v>0</v>
      </c>
      <c r="U159" s="67">
        <f t="shared" si="32"/>
        <v>0</v>
      </c>
      <c r="V159" s="35">
        <v>0</v>
      </c>
      <c r="W159" s="36">
        <f t="shared" si="29"/>
        <v>0</v>
      </c>
    </row>
    <row r="160" spans="1:24" x14ac:dyDescent="0.25">
      <c r="A160" s="131" t="s">
        <v>321</v>
      </c>
      <c r="B160" s="131" t="s">
        <v>322</v>
      </c>
      <c r="C160" s="136"/>
      <c r="D160" s="137"/>
      <c r="E160" s="28">
        <v>6064.89</v>
      </c>
      <c r="F160" s="132">
        <v>393.16</v>
      </c>
      <c r="G160" s="30">
        <f t="shared" si="30"/>
        <v>6458.05</v>
      </c>
      <c r="H160" s="31">
        <v>784.56</v>
      </c>
      <c r="I160" s="27">
        <f t="shared" si="33"/>
        <v>7242.6100000000006</v>
      </c>
      <c r="J160" s="136"/>
      <c r="K160" s="137"/>
      <c r="L160" s="38">
        <v>1300</v>
      </c>
      <c r="M160" s="138">
        <v>0</v>
      </c>
      <c r="N160" s="67">
        <f t="shared" si="31"/>
        <v>1300</v>
      </c>
      <c r="O160" s="35">
        <v>0</v>
      </c>
      <c r="P160" s="36">
        <f t="shared" si="28"/>
        <v>1300</v>
      </c>
      <c r="Q160" s="136"/>
      <c r="R160" s="137"/>
      <c r="S160" s="38">
        <v>6079.59</v>
      </c>
      <c r="T160" s="138">
        <v>583.4</v>
      </c>
      <c r="U160" s="67">
        <f t="shared" si="32"/>
        <v>6662.99</v>
      </c>
      <c r="V160" s="35">
        <v>1433.44</v>
      </c>
      <c r="W160" s="36">
        <f t="shared" si="29"/>
        <v>8096.43</v>
      </c>
    </row>
    <row r="161" spans="1:23" x14ac:dyDescent="0.25">
      <c r="A161" s="131" t="s">
        <v>323</v>
      </c>
      <c r="B161" s="131" t="s">
        <v>324</v>
      </c>
      <c r="C161" s="119"/>
      <c r="D161" s="120"/>
      <c r="E161" s="28">
        <v>0</v>
      </c>
      <c r="F161" s="132">
        <v>0</v>
      </c>
      <c r="G161" s="30">
        <f t="shared" si="30"/>
        <v>0</v>
      </c>
      <c r="H161" s="31">
        <v>0</v>
      </c>
      <c r="I161" s="27">
        <f t="shared" si="33"/>
        <v>0</v>
      </c>
      <c r="J161" s="119"/>
      <c r="K161" s="120"/>
      <c r="L161" s="38">
        <v>0</v>
      </c>
      <c r="M161" s="134">
        <v>0</v>
      </c>
      <c r="N161" s="67">
        <f t="shared" si="31"/>
        <v>0</v>
      </c>
      <c r="O161" s="35">
        <v>0</v>
      </c>
      <c r="P161" s="36">
        <f t="shared" si="28"/>
        <v>0</v>
      </c>
      <c r="Q161" s="119"/>
      <c r="R161" s="120"/>
      <c r="S161" s="38">
        <v>382.5</v>
      </c>
      <c r="T161" s="134">
        <v>0</v>
      </c>
      <c r="U161" s="67">
        <f t="shared" si="32"/>
        <v>382.5</v>
      </c>
      <c r="V161" s="35">
        <v>0</v>
      </c>
      <c r="W161" s="36">
        <f t="shared" si="29"/>
        <v>382.5</v>
      </c>
    </row>
    <row r="162" spans="1:23" x14ac:dyDescent="0.25">
      <c r="A162" s="130" t="s">
        <v>325</v>
      </c>
      <c r="B162" s="131" t="s">
        <v>326</v>
      </c>
      <c r="C162" s="119"/>
      <c r="D162" s="120"/>
      <c r="E162" s="28">
        <v>736.51</v>
      </c>
      <c r="F162" s="132">
        <v>0</v>
      </c>
      <c r="G162" s="30">
        <f t="shared" si="30"/>
        <v>736.51</v>
      </c>
      <c r="H162" s="31">
        <v>0</v>
      </c>
      <c r="I162" s="27">
        <f t="shared" si="33"/>
        <v>736.51</v>
      </c>
      <c r="J162" s="119"/>
      <c r="K162" s="120"/>
      <c r="L162" s="38">
        <v>0</v>
      </c>
      <c r="M162" s="134">
        <v>0</v>
      </c>
      <c r="N162" s="67">
        <f t="shared" si="31"/>
        <v>0</v>
      </c>
      <c r="O162" s="35">
        <v>0</v>
      </c>
      <c r="P162" s="36">
        <f t="shared" si="28"/>
        <v>0</v>
      </c>
      <c r="Q162" s="119"/>
      <c r="R162" s="120"/>
      <c r="S162" s="38">
        <v>6645.63</v>
      </c>
      <c r="T162" s="134">
        <v>18</v>
      </c>
      <c r="U162" s="67">
        <f t="shared" si="32"/>
        <v>6663.63</v>
      </c>
      <c r="V162" s="35">
        <v>0</v>
      </c>
      <c r="W162" s="36">
        <f t="shared" si="29"/>
        <v>6663.63</v>
      </c>
    </row>
    <row r="163" spans="1:23" x14ac:dyDescent="0.25">
      <c r="A163" s="139">
        <v>761</v>
      </c>
      <c r="B163" s="139" t="s">
        <v>327</v>
      </c>
      <c r="C163" s="119"/>
      <c r="D163" s="120"/>
      <c r="E163" s="140">
        <f>SUM(E164:E167)</f>
        <v>3654.5299999999997</v>
      </c>
      <c r="F163" s="141">
        <f>SUM(F165:F167)</f>
        <v>450</v>
      </c>
      <c r="G163" s="94">
        <f>SUM(G165:G167)</f>
        <v>1094.53</v>
      </c>
      <c r="H163" s="142">
        <v>0</v>
      </c>
      <c r="I163" s="17">
        <f t="shared" si="33"/>
        <v>1094.53</v>
      </c>
      <c r="J163" s="104"/>
      <c r="K163" s="105"/>
      <c r="L163" s="143">
        <f>SUM(L165:L167)</f>
        <v>0</v>
      </c>
      <c r="M163" s="144">
        <f>SUM(M164:M167)</f>
        <v>0</v>
      </c>
      <c r="N163" s="145">
        <f>SUM(N165:N167)</f>
        <v>0</v>
      </c>
      <c r="O163" s="146">
        <v>0</v>
      </c>
      <c r="P163" s="24">
        <f t="shared" si="28"/>
        <v>0</v>
      </c>
      <c r="Q163" s="104"/>
      <c r="R163" s="105"/>
      <c r="S163" s="143">
        <f>SUM(S165:S167)</f>
        <v>471.66</v>
      </c>
      <c r="T163" s="144">
        <f>SUM(T164:T167)</f>
        <v>228.71</v>
      </c>
      <c r="U163" s="145">
        <f>SUM(U165:U167)</f>
        <v>700.37</v>
      </c>
      <c r="V163" s="146">
        <v>0</v>
      </c>
      <c r="W163" s="24">
        <f t="shared" si="29"/>
        <v>700.37</v>
      </c>
    </row>
    <row r="164" spans="1:23" x14ac:dyDescent="0.25">
      <c r="A164" s="130" t="s">
        <v>328</v>
      </c>
      <c r="B164" s="131" t="s">
        <v>329</v>
      </c>
      <c r="C164" s="119"/>
      <c r="D164" s="120"/>
      <c r="E164" s="147">
        <v>3010</v>
      </c>
      <c r="F164" s="132">
        <v>0</v>
      </c>
      <c r="G164" s="30">
        <f t="shared" ref="G164:G167" si="34">SUM(E164:F164)</f>
        <v>3010</v>
      </c>
      <c r="H164" s="66">
        <v>0</v>
      </c>
      <c r="I164" s="27">
        <f t="shared" si="33"/>
        <v>3010</v>
      </c>
      <c r="J164" s="119"/>
      <c r="K164" s="120"/>
      <c r="L164" s="148"/>
      <c r="M164" s="149"/>
      <c r="N164" s="150"/>
      <c r="O164" s="151"/>
      <c r="P164" s="36">
        <f t="shared" si="28"/>
        <v>0</v>
      </c>
      <c r="Q164" s="119"/>
      <c r="R164" s="120"/>
      <c r="S164" s="274">
        <v>0</v>
      </c>
      <c r="T164" s="275">
        <v>0</v>
      </c>
      <c r="U164" s="67">
        <f>S164+T164</f>
        <v>0</v>
      </c>
      <c r="V164" s="187">
        <v>0</v>
      </c>
      <c r="W164" s="36">
        <f t="shared" si="29"/>
        <v>0</v>
      </c>
    </row>
    <row r="165" spans="1:23" x14ac:dyDescent="0.25">
      <c r="A165" s="131" t="s">
        <v>330</v>
      </c>
      <c r="B165" s="131" t="s">
        <v>264</v>
      </c>
      <c r="C165" s="119"/>
      <c r="D165" s="120"/>
      <c r="E165" s="28">
        <v>0</v>
      </c>
      <c r="F165" s="132">
        <v>0</v>
      </c>
      <c r="G165" s="30">
        <f t="shared" si="34"/>
        <v>0</v>
      </c>
      <c r="H165" s="31">
        <v>0</v>
      </c>
      <c r="I165" s="27">
        <f t="shared" si="33"/>
        <v>0</v>
      </c>
      <c r="J165" s="119"/>
      <c r="K165" s="120"/>
      <c r="L165" s="38">
        <v>0</v>
      </c>
      <c r="M165" s="135">
        <v>0</v>
      </c>
      <c r="N165" s="67">
        <f>L165+M165</f>
        <v>0</v>
      </c>
      <c r="O165" s="35">
        <v>0</v>
      </c>
      <c r="P165" s="36">
        <f t="shared" si="28"/>
        <v>0</v>
      </c>
      <c r="Q165" s="119"/>
      <c r="R165" s="120"/>
      <c r="S165" s="38">
        <v>0</v>
      </c>
      <c r="T165" s="135">
        <v>0</v>
      </c>
      <c r="U165" s="67">
        <f>S165+T165</f>
        <v>0</v>
      </c>
      <c r="V165" s="35">
        <v>0</v>
      </c>
      <c r="W165" s="36">
        <f t="shared" si="29"/>
        <v>0</v>
      </c>
    </row>
    <row r="166" spans="1:23" x14ac:dyDescent="0.25">
      <c r="A166" s="131" t="s">
        <v>331</v>
      </c>
      <c r="B166" s="131" t="s">
        <v>332</v>
      </c>
      <c r="C166" s="136"/>
      <c r="D166" s="137"/>
      <c r="E166" s="28">
        <v>0</v>
      </c>
      <c r="F166" s="132">
        <v>0</v>
      </c>
      <c r="G166" s="30">
        <f t="shared" si="34"/>
        <v>0</v>
      </c>
      <c r="H166" s="31">
        <v>0</v>
      </c>
      <c r="I166" s="27">
        <f t="shared" si="33"/>
        <v>0</v>
      </c>
      <c r="J166" s="136"/>
      <c r="K166" s="137"/>
      <c r="L166" s="38">
        <v>0</v>
      </c>
      <c r="M166" s="135">
        <v>0</v>
      </c>
      <c r="N166" s="67">
        <f>L166+M166</f>
        <v>0</v>
      </c>
      <c r="O166" s="35">
        <v>0</v>
      </c>
      <c r="P166" s="36">
        <f t="shared" si="28"/>
        <v>0</v>
      </c>
      <c r="Q166" s="136"/>
      <c r="R166" s="137"/>
      <c r="S166" s="38">
        <v>0</v>
      </c>
      <c r="T166" s="135">
        <v>0</v>
      </c>
      <c r="U166" s="67">
        <f>S166+T166</f>
        <v>0</v>
      </c>
      <c r="V166" s="35">
        <v>0</v>
      </c>
      <c r="W166" s="36">
        <f t="shared" si="29"/>
        <v>0</v>
      </c>
    </row>
    <row r="167" spans="1:23" x14ac:dyDescent="0.25">
      <c r="A167" s="131" t="s">
        <v>333</v>
      </c>
      <c r="B167" s="131" t="s">
        <v>334</v>
      </c>
      <c r="C167" s="119"/>
      <c r="D167" s="120"/>
      <c r="E167" s="28">
        <v>644.53</v>
      </c>
      <c r="F167" s="132">
        <v>450</v>
      </c>
      <c r="G167" s="30">
        <f t="shared" si="34"/>
        <v>1094.53</v>
      </c>
      <c r="H167" s="31">
        <v>0</v>
      </c>
      <c r="I167" s="27">
        <f t="shared" si="33"/>
        <v>1094.53</v>
      </c>
      <c r="J167" s="119"/>
      <c r="K167" s="120"/>
      <c r="L167" s="38">
        <v>0</v>
      </c>
      <c r="M167" s="135">
        <v>0</v>
      </c>
      <c r="N167" s="67">
        <f>L167+M167</f>
        <v>0</v>
      </c>
      <c r="O167" s="35">
        <v>0</v>
      </c>
      <c r="P167" s="36">
        <f t="shared" si="28"/>
        <v>0</v>
      </c>
      <c r="Q167" s="119"/>
      <c r="R167" s="120"/>
      <c r="S167" s="38">
        <v>471.66</v>
      </c>
      <c r="T167" s="135">
        <v>228.71</v>
      </c>
      <c r="U167" s="67">
        <f>S167+T167</f>
        <v>700.37</v>
      </c>
      <c r="V167" s="35">
        <v>0</v>
      </c>
      <c r="W167" s="36">
        <f t="shared" si="29"/>
        <v>700.37</v>
      </c>
    </row>
    <row r="168" spans="1:23" x14ac:dyDescent="0.25">
      <c r="A168" s="139">
        <v>762</v>
      </c>
      <c r="B168" s="139" t="s">
        <v>335</v>
      </c>
      <c r="C168" s="119"/>
      <c r="D168" s="120"/>
      <c r="E168" s="140">
        <f>SUM(E169:E170)</f>
        <v>941.21</v>
      </c>
      <c r="F168" s="141">
        <f>SUM(F169:F170)</f>
        <v>0</v>
      </c>
      <c r="G168" s="152">
        <f>SUM(G169:G170)</f>
        <v>941.21</v>
      </c>
      <c r="H168" s="142">
        <v>0</v>
      </c>
      <c r="I168" s="17">
        <f t="shared" si="33"/>
        <v>941.21</v>
      </c>
      <c r="J168" s="104"/>
      <c r="K168" s="105"/>
      <c r="L168" s="143">
        <f>SUM(L169:L170)</f>
        <v>410</v>
      </c>
      <c r="M168" s="144">
        <f>SUM(M169:M170)</f>
        <v>0</v>
      </c>
      <c r="N168" s="153">
        <f>SUM(N169:N170)</f>
        <v>410</v>
      </c>
      <c r="O168" s="146">
        <v>0</v>
      </c>
      <c r="P168" s="24">
        <f t="shared" si="28"/>
        <v>410</v>
      </c>
      <c r="Q168" s="104"/>
      <c r="R168" s="105"/>
      <c r="S168" s="143">
        <f>SUM(S169:S170)</f>
        <v>419.56</v>
      </c>
      <c r="T168" s="144">
        <f>SUM(T169:T170)</f>
        <v>0</v>
      </c>
      <c r="U168" s="153">
        <f>SUM(U169:U170)</f>
        <v>419.56</v>
      </c>
      <c r="V168" s="146">
        <v>0</v>
      </c>
      <c r="W168" s="24">
        <f t="shared" si="29"/>
        <v>419.56</v>
      </c>
    </row>
    <row r="169" spans="1:23" x14ac:dyDescent="0.25">
      <c r="A169" s="131" t="s">
        <v>336</v>
      </c>
      <c r="B169" s="131" t="s">
        <v>337</v>
      </c>
      <c r="C169" s="154"/>
      <c r="D169" s="155"/>
      <c r="E169" s="28">
        <v>941.21</v>
      </c>
      <c r="F169" s="132">
        <v>0</v>
      </c>
      <c r="G169" s="30">
        <f t="shared" ref="G169:G170" si="35">SUM(E169:F169)</f>
        <v>941.21</v>
      </c>
      <c r="H169" s="31">
        <v>0</v>
      </c>
      <c r="I169" s="27">
        <f t="shared" si="33"/>
        <v>941.21</v>
      </c>
      <c r="J169" s="154"/>
      <c r="K169" s="155"/>
      <c r="L169" s="38">
        <v>410</v>
      </c>
      <c r="M169" s="135">
        <v>0</v>
      </c>
      <c r="N169" s="67">
        <f>L169+M169</f>
        <v>410</v>
      </c>
      <c r="O169" s="35">
        <v>0</v>
      </c>
      <c r="P169" s="36">
        <f t="shared" si="28"/>
        <v>410</v>
      </c>
      <c r="Q169" s="154"/>
      <c r="R169" s="155"/>
      <c r="S169" s="38">
        <v>419.56</v>
      </c>
      <c r="T169" s="135">
        <v>0</v>
      </c>
      <c r="U169" s="67">
        <f>S169+T169</f>
        <v>419.56</v>
      </c>
      <c r="V169" s="35">
        <v>0</v>
      </c>
      <c r="W169" s="36">
        <f t="shared" si="29"/>
        <v>419.56</v>
      </c>
    </row>
    <row r="170" spans="1:23" x14ac:dyDescent="0.25">
      <c r="A170" s="156" t="s">
        <v>338</v>
      </c>
      <c r="B170" s="156" t="s">
        <v>339</v>
      </c>
      <c r="C170" s="119"/>
      <c r="D170" s="120"/>
      <c r="E170" s="28">
        <v>0</v>
      </c>
      <c r="F170" s="132">
        <v>0</v>
      </c>
      <c r="G170" s="30">
        <f t="shared" si="35"/>
        <v>0</v>
      </c>
      <c r="H170" s="31">
        <v>0</v>
      </c>
      <c r="I170" s="27">
        <f t="shared" si="33"/>
        <v>0</v>
      </c>
      <c r="J170" s="119"/>
      <c r="K170" s="120"/>
      <c r="L170" s="38">
        <v>0</v>
      </c>
      <c r="M170" s="135">
        <v>0</v>
      </c>
      <c r="N170" s="67">
        <f>L170+M170</f>
        <v>0</v>
      </c>
      <c r="O170" s="35">
        <v>0</v>
      </c>
      <c r="P170" s="36">
        <f t="shared" si="28"/>
        <v>0</v>
      </c>
      <c r="Q170" s="119"/>
      <c r="R170" s="120"/>
      <c r="S170" s="38">
        <v>0</v>
      </c>
      <c r="T170" s="135">
        <v>0</v>
      </c>
      <c r="U170" s="67">
        <f>S170+T170</f>
        <v>0</v>
      </c>
      <c r="V170" s="35">
        <v>0</v>
      </c>
      <c r="W170" s="36">
        <f t="shared" si="29"/>
        <v>0</v>
      </c>
    </row>
    <row r="171" spans="1:23" x14ac:dyDescent="0.25">
      <c r="A171" s="157">
        <v>763</v>
      </c>
      <c r="B171" s="157" t="s">
        <v>340</v>
      </c>
      <c r="C171" s="119"/>
      <c r="D171" s="120"/>
      <c r="E171" s="140">
        <f>SUM(E172:E175)</f>
        <v>0</v>
      </c>
      <c r="F171" s="141">
        <f>SUM(F172:F175)</f>
        <v>0</v>
      </c>
      <c r="G171" s="94">
        <f>SUM(G172:G175)</f>
        <v>0</v>
      </c>
      <c r="H171" s="94">
        <f>SUM(H172:H175)</f>
        <v>0</v>
      </c>
      <c r="I171" s="17">
        <f t="shared" si="33"/>
        <v>0</v>
      </c>
      <c r="J171" s="104"/>
      <c r="K171" s="105"/>
      <c r="L171" s="143">
        <f>SUM(L172:L174)</f>
        <v>0</v>
      </c>
      <c r="M171" s="144">
        <f>SUM(M172:M174)</f>
        <v>0</v>
      </c>
      <c r="N171" s="145">
        <f>SUM(N173:N174)</f>
        <v>0</v>
      </c>
      <c r="O171" s="158">
        <v>0</v>
      </c>
      <c r="P171" s="24">
        <f t="shared" ref="P171:P172" si="36">N171+O171</f>
        <v>0</v>
      </c>
      <c r="Q171" s="104"/>
      <c r="R171" s="105"/>
      <c r="S171" s="143">
        <f>SUM(S172:S174)</f>
        <v>0.01</v>
      </c>
      <c r="T171" s="144">
        <f>SUM(T172:T174)</f>
        <v>0</v>
      </c>
      <c r="U171" s="145">
        <f>SUM(U173:U174)</f>
        <v>0.01</v>
      </c>
      <c r="V171" s="158">
        <v>0</v>
      </c>
      <c r="W171" s="24">
        <f t="shared" ref="W171:W172" si="37">U171+V171</f>
        <v>0.01</v>
      </c>
    </row>
    <row r="172" spans="1:23" x14ac:dyDescent="0.25">
      <c r="A172" s="156" t="s">
        <v>341</v>
      </c>
      <c r="B172" s="159" t="s">
        <v>342</v>
      </c>
      <c r="C172" s="119"/>
      <c r="D172" s="120"/>
      <c r="E172" s="147">
        <v>0</v>
      </c>
      <c r="F172" s="160"/>
      <c r="G172" s="30">
        <f t="shared" ref="G172:G174" si="38">SUM(E172:F172)</f>
        <v>0</v>
      </c>
      <c r="H172" s="161"/>
      <c r="I172" s="27">
        <f t="shared" si="33"/>
        <v>0</v>
      </c>
      <c r="J172" s="119"/>
      <c r="K172" s="120"/>
      <c r="L172" s="38">
        <v>0</v>
      </c>
      <c r="M172" s="135">
        <v>0</v>
      </c>
      <c r="N172" s="67">
        <f>L172+M172</f>
        <v>0</v>
      </c>
      <c r="O172" s="162">
        <v>0</v>
      </c>
      <c r="P172" s="36">
        <f t="shared" si="36"/>
        <v>0</v>
      </c>
      <c r="Q172" s="119"/>
      <c r="R172" s="120"/>
      <c r="S172" s="38">
        <v>0</v>
      </c>
      <c r="T172" s="135">
        <v>0</v>
      </c>
      <c r="U172" s="67">
        <f>S172+T172</f>
        <v>0</v>
      </c>
      <c r="V172" s="162">
        <v>0</v>
      </c>
      <c r="W172" s="36">
        <f t="shared" si="37"/>
        <v>0</v>
      </c>
    </row>
    <row r="173" spans="1:23" x14ac:dyDescent="0.25">
      <c r="A173" s="156" t="s">
        <v>343</v>
      </c>
      <c r="B173" s="159" t="s">
        <v>344</v>
      </c>
      <c r="C173" s="119"/>
      <c r="D173" s="120"/>
      <c r="E173" s="147">
        <v>0</v>
      </c>
      <c r="F173" s="132">
        <v>0</v>
      </c>
      <c r="G173" s="30">
        <f t="shared" si="38"/>
        <v>0</v>
      </c>
      <c r="H173" s="163">
        <v>0</v>
      </c>
      <c r="I173" s="27">
        <f t="shared" si="33"/>
        <v>0</v>
      </c>
      <c r="J173" s="119"/>
      <c r="K173" s="120"/>
      <c r="L173" s="38">
        <v>0</v>
      </c>
      <c r="M173" s="135">
        <v>0</v>
      </c>
      <c r="N173" s="67">
        <f>L173+M173</f>
        <v>0</v>
      </c>
      <c r="O173" s="162">
        <v>0</v>
      </c>
      <c r="P173" s="36">
        <v>0</v>
      </c>
      <c r="Q173" s="119"/>
      <c r="R173" s="120"/>
      <c r="S173" s="38">
        <v>0</v>
      </c>
      <c r="T173" s="135">
        <v>0</v>
      </c>
      <c r="U173" s="67">
        <f>S173+T173</f>
        <v>0</v>
      </c>
      <c r="V173" s="162">
        <v>0</v>
      </c>
      <c r="W173" s="36">
        <v>0</v>
      </c>
    </row>
    <row r="174" spans="1:23" x14ac:dyDescent="0.25">
      <c r="A174" s="156" t="s">
        <v>345</v>
      </c>
      <c r="B174" s="156" t="s">
        <v>342</v>
      </c>
      <c r="C174" s="119"/>
      <c r="D174" s="120"/>
      <c r="E174" s="164">
        <v>0</v>
      </c>
      <c r="F174" s="165">
        <v>0</v>
      </c>
      <c r="G174" s="166">
        <f t="shared" si="38"/>
        <v>0</v>
      </c>
      <c r="H174" s="167">
        <v>0</v>
      </c>
      <c r="I174" s="168">
        <v>0</v>
      </c>
      <c r="J174" s="119"/>
      <c r="K174" s="120"/>
      <c r="L174" s="38">
        <v>0</v>
      </c>
      <c r="M174" s="135">
        <v>0</v>
      </c>
      <c r="N174" s="67">
        <f>L174+M174</f>
        <v>0</v>
      </c>
      <c r="O174" s="35">
        <v>0</v>
      </c>
      <c r="P174" s="36">
        <f>N174+O174</f>
        <v>0</v>
      </c>
      <c r="Q174" s="119"/>
      <c r="R174" s="120"/>
      <c r="S174" s="38">
        <v>0.01</v>
      </c>
      <c r="T174" s="135">
        <v>0</v>
      </c>
      <c r="U174" s="67">
        <f>S174+T174</f>
        <v>0.01</v>
      </c>
      <c r="V174" s="35">
        <v>0</v>
      </c>
      <c r="W174" s="36">
        <f>U174+V174</f>
        <v>0.01</v>
      </c>
    </row>
    <row r="175" spans="1:23" ht="12.6" customHeight="1" x14ac:dyDescent="0.25">
      <c r="C175" s="170"/>
      <c r="D175" s="171"/>
      <c r="E175" s="172"/>
      <c r="F175" s="173"/>
      <c r="G175" s="174"/>
      <c r="H175" s="172"/>
      <c r="I175" s="172"/>
      <c r="J175" s="170"/>
      <c r="K175" s="171"/>
      <c r="L175" s="175"/>
      <c r="M175" s="175"/>
      <c r="N175" s="175"/>
      <c r="O175" s="175"/>
      <c r="P175" s="175"/>
      <c r="Q175" s="170"/>
      <c r="R175" s="171"/>
      <c r="S175" s="175"/>
      <c r="T175" s="175"/>
      <c r="U175" s="175"/>
      <c r="V175" s="175"/>
      <c r="W175" s="175"/>
    </row>
    <row r="176" spans="1:23" ht="13.15" customHeight="1" x14ac:dyDescent="0.25">
      <c r="C176" s="170"/>
      <c r="D176" s="171"/>
      <c r="E176" s="172"/>
      <c r="F176" s="173"/>
      <c r="G176" s="174"/>
      <c r="H176" s="176"/>
      <c r="I176" s="172"/>
      <c r="J176" s="170"/>
      <c r="K176" s="171"/>
      <c r="L176" s="177"/>
      <c r="M176" s="175"/>
      <c r="N176" s="175"/>
      <c r="O176" s="175"/>
      <c r="P176" s="175"/>
      <c r="Q176" s="170"/>
      <c r="R176" s="171"/>
      <c r="S176" s="177"/>
      <c r="T176" s="175"/>
      <c r="U176" s="175"/>
      <c r="V176" s="175"/>
      <c r="W176" s="175"/>
    </row>
    <row r="177" spans="1:23" x14ac:dyDescent="0.25">
      <c r="A177" s="178"/>
      <c r="B177" s="178" t="s">
        <v>346</v>
      </c>
      <c r="C177" s="179"/>
      <c r="D177" s="180"/>
      <c r="E177" s="181">
        <f>E109-E3</f>
        <v>-9340.7699999997858</v>
      </c>
      <c r="F177" s="182">
        <f>F109-F3</f>
        <v>0</v>
      </c>
      <c r="G177" s="183">
        <f>G109-G3</f>
        <v>-9340.7700000004843</v>
      </c>
      <c r="H177" s="163">
        <f>H109-H3</f>
        <v>-1017.4900000000052</v>
      </c>
      <c r="I177" s="280">
        <f>I109-I3</f>
        <v>-10358.260000000708</v>
      </c>
      <c r="J177" s="179"/>
      <c r="K177" s="180"/>
      <c r="L177" s="184">
        <f>L109-L3</f>
        <v>-118.83499999996275</v>
      </c>
      <c r="M177" s="185">
        <f>M109-M3</f>
        <v>998.85378000000492</v>
      </c>
      <c r="N177" s="186">
        <f>N109-N3</f>
        <v>880.01878000004217</v>
      </c>
      <c r="O177" s="187">
        <f>O109-O3</f>
        <v>432.95999999999913</v>
      </c>
      <c r="P177" s="277">
        <f>P109-P3</f>
        <v>1312.9787800000049</v>
      </c>
      <c r="Q177" s="179"/>
      <c r="R177" s="180"/>
      <c r="S177" s="184">
        <f>S109-S3</f>
        <v>48973.699999999721</v>
      </c>
      <c r="T177" s="185">
        <f>T109-T3</f>
        <v>592.78999999992084</v>
      </c>
      <c r="U177" s="186">
        <f>U109-U3</f>
        <v>49566.489999999525</v>
      </c>
      <c r="V177" s="187">
        <f>V109-V3</f>
        <v>0</v>
      </c>
      <c r="W177" s="277">
        <f>W109-W3</f>
        <v>49566.489999999292</v>
      </c>
    </row>
    <row r="178" spans="1:23" x14ac:dyDescent="0.25">
      <c r="A178" s="156"/>
      <c r="B178" s="156" t="s">
        <v>347</v>
      </c>
      <c r="C178" s="188"/>
      <c r="D178" s="189"/>
      <c r="E178" s="190"/>
      <c r="F178" s="182"/>
      <c r="G178" s="183"/>
      <c r="H178" s="163"/>
      <c r="I178" s="280"/>
      <c r="J178" s="188"/>
      <c r="K178" s="189"/>
      <c r="L178" s="191"/>
      <c r="M178" s="185"/>
      <c r="N178" s="186"/>
      <c r="O178" s="187"/>
      <c r="P178" s="277"/>
      <c r="Q178" s="188"/>
      <c r="R178" s="189"/>
      <c r="S178" s="191">
        <v>-214.69</v>
      </c>
      <c r="T178" s="185"/>
      <c r="U178" s="34">
        <f>S178+T178</f>
        <v>-214.69</v>
      </c>
      <c r="V178" s="187"/>
      <c r="W178" s="277">
        <f>U178+V178</f>
        <v>-214.69</v>
      </c>
    </row>
    <row r="179" spans="1:23" x14ac:dyDescent="0.25">
      <c r="A179" s="156"/>
      <c r="B179" s="156" t="s">
        <v>348</v>
      </c>
      <c r="C179" s="188"/>
      <c r="D179" s="189"/>
      <c r="E179" s="189"/>
      <c r="F179" s="189"/>
      <c r="G179" s="189"/>
      <c r="H179" s="120"/>
      <c r="I179" s="120">
        <v>15871.49</v>
      </c>
      <c r="J179" s="188"/>
      <c r="K179" s="189"/>
      <c r="L179" s="192"/>
      <c r="M179" s="192"/>
      <c r="N179" s="192"/>
      <c r="O179" s="193"/>
      <c r="P179" s="193"/>
      <c r="Q179" s="188"/>
      <c r="R179" s="189"/>
      <c r="S179" s="192"/>
      <c r="T179" s="192"/>
      <c r="U179" s="192"/>
      <c r="V179" s="193"/>
      <c r="W179" s="193"/>
    </row>
    <row r="180" spans="1:23" x14ac:dyDescent="0.25">
      <c r="A180" s="156"/>
      <c r="B180" s="156" t="s">
        <v>6</v>
      </c>
      <c r="C180" s="188"/>
      <c r="D180" s="189"/>
      <c r="E180" s="181">
        <f>SUM(E177:E179)</f>
        <v>-9340.7699999997858</v>
      </c>
      <c r="F180" s="194">
        <f>SUM(F177:F179)</f>
        <v>0</v>
      </c>
      <c r="G180" s="195">
        <f>SUM(G177:G179)</f>
        <v>-9340.7700000004843</v>
      </c>
      <c r="H180" s="196">
        <f>H177</f>
        <v>-1017.4900000000052</v>
      </c>
      <c r="I180" s="195">
        <f>SUM(I177:I179)</f>
        <v>5513.229999999292</v>
      </c>
      <c r="J180" s="188"/>
      <c r="K180" s="189"/>
      <c r="L180" s="197">
        <f>SUM(L177:L179)</f>
        <v>-118.83499999996275</v>
      </c>
      <c r="M180" s="198">
        <f>SUM(M177:M179)</f>
        <v>998.85378000000492</v>
      </c>
      <c r="N180" s="34">
        <f>SUM(N177:N179)</f>
        <v>880.01878000004217</v>
      </c>
      <c r="O180" s="199">
        <f>O177</f>
        <v>432.95999999999913</v>
      </c>
      <c r="P180" s="34">
        <f>SUM(P177:P179)</f>
        <v>1312.9787800000049</v>
      </c>
      <c r="Q180" s="188"/>
      <c r="R180" s="189"/>
      <c r="S180" s="197">
        <f>SUM(S177:S179)</f>
        <v>48759.009999999718</v>
      </c>
      <c r="T180" s="198">
        <f>SUM(T177:T179)</f>
        <v>592.78999999992084</v>
      </c>
      <c r="U180" s="34">
        <f>SUM(U177:U179)</f>
        <v>49351.799999999523</v>
      </c>
      <c r="V180" s="199">
        <f>V177</f>
        <v>0</v>
      </c>
      <c r="W180" s="34">
        <f>SUM(W177:W179)</f>
        <v>49351.79999999929</v>
      </c>
    </row>
    <row r="181" spans="1:23" x14ac:dyDescent="0.25">
      <c r="B181" s="200"/>
    </row>
    <row r="182" spans="1:23" x14ac:dyDescent="0.25">
      <c r="A182" s="169" t="s">
        <v>403</v>
      </c>
      <c r="B182" s="201"/>
      <c r="H182" s="202" t="s">
        <v>349</v>
      </c>
    </row>
    <row r="183" spans="1:23" x14ac:dyDescent="0.25">
      <c r="A183" s="169" t="s">
        <v>350</v>
      </c>
      <c r="B183" s="201"/>
      <c r="H183" s="202" t="s">
        <v>351</v>
      </c>
    </row>
    <row r="184" spans="1:23" x14ac:dyDescent="0.25">
      <c r="A184" s="201"/>
      <c r="B184" s="201"/>
      <c r="C184" s="203"/>
    </row>
    <row r="185" spans="1:23" x14ac:dyDescent="0.25">
      <c r="A185" s="204"/>
      <c r="B185" s="201"/>
      <c r="C185" s="203"/>
    </row>
    <row r="186" spans="1:23" ht="14.45" hidden="1" x14ac:dyDescent="0.3">
      <c r="B186" s="201"/>
      <c r="H186" s="202"/>
    </row>
    <row r="187" spans="1:23" ht="14.45" hidden="1" x14ac:dyDescent="0.3">
      <c r="B187" s="201"/>
      <c r="H187" s="202"/>
    </row>
    <row r="188" spans="1:23" ht="14.45" hidden="1" x14ac:dyDescent="0.3">
      <c r="A188" s="204"/>
      <c r="B188" s="201"/>
      <c r="C188" s="203"/>
    </row>
    <row r="189" spans="1:23" ht="14.45" hidden="1" x14ac:dyDescent="0.3">
      <c r="A189" s="204"/>
      <c r="B189" s="201"/>
      <c r="C189" s="203"/>
    </row>
    <row r="190" spans="1:23" ht="14.45" hidden="1" x14ac:dyDescent="0.3">
      <c r="A190" s="204"/>
      <c r="B190" s="201"/>
      <c r="C190" s="203"/>
    </row>
    <row r="191" spans="1:23" ht="14.45" hidden="1" x14ac:dyDescent="0.3">
      <c r="A191" s="204"/>
      <c r="B191" s="201"/>
      <c r="C191" s="203"/>
    </row>
    <row r="192" spans="1:23" ht="66" customHeight="1" x14ac:dyDescent="0.25">
      <c r="A192" s="201"/>
      <c r="B192" s="201"/>
      <c r="C192" s="203"/>
    </row>
    <row r="193" spans="1:9" ht="14.45" hidden="1" x14ac:dyDescent="0.3">
      <c r="A193" s="205"/>
      <c r="B193" s="205"/>
      <c r="C193" s="203"/>
    </row>
    <row r="194" spans="1:9" ht="14.45" hidden="1" x14ac:dyDescent="0.3">
      <c r="A194" s="201"/>
      <c r="B194" s="201"/>
      <c r="C194" s="203"/>
    </row>
    <row r="195" spans="1:9" ht="14.45" hidden="1" x14ac:dyDescent="0.3">
      <c r="A195" s="201"/>
      <c r="B195" s="201"/>
      <c r="C195" s="203"/>
    </row>
    <row r="196" spans="1:9" ht="14.45" hidden="1" x14ac:dyDescent="0.3">
      <c r="A196" s="201"/>
      <c r="B196" s="201"/>
      <c r="C196" s="203"/>
    </row>
    <row r="197" spans="1:9" ht="14.45" hidden="1" x14ac:dyDescent="0.3">
      <c r="A197" s="201"/>
      <c r="B197" s="201"/>
      <c r="C197" s="203"/>
    </row>
    <row r="198" spans="1:9" ht="14.45" hidden="1" x14ac:dyDescent="0.3">
      <c r="A198" s="201"/>
      <c r="B198" s="201"/>
      <c r="C198" s="203"/>
    </row>
    <row r="199" spans="1:9" ht="11.45" hidden="1" customHeight="1" x14ac:dyDescent="0.3">
      <c r="A199" s="201"/>
      <c r="B199" s="201"/>
      <c r="C199" s="203"/>
    </row>
    <row r="200" spans="1:9" ht="14.45" hidden="1" x14ac:dyDescent="0.3">
      <c r="A200" s="201"/>
      <c r="B200" s="201"/>
      <c r="C200" s="203"/>
    </row>
    <row r="201" spans="1:9" ht="14.45" hidden="1" x14ac:dyDescent="0.3">
      <c r="A201" s="201"/>
      <c r="B201" s="201"/>
      <c r="C201" s="203"/>
    </row>
    <row r="202" spans="1:9" ht="14.45" hidden="1" x14ac:dyDescent="0.3">
      <c r="A202" s="201"/>
      <c r="B202" s="201"/>
      <c r="C202" s="203"/>
    </row>
    <row r="203" spans="1:9" ht="14.45" hidden="1" x14ac:dyDescent="0.3">
      <c r="A203" s="205"/>
      <c r="B203" s="205"/>
      <c r="C203" s="203"/>
    </row>
    <row r="204" spans="1:9" ht="14.45" hidden="1" x14ac:dyDescent="0.3">
      <c r="A204" s="201"/>
      <c r="B204" s="201"/>
      <c r="C204" s="203"/>
    </row>
    <row r="205" spans="1:9" ht="5.45" hidden="1" customHeight="1" x14ac:dyDescent="0.3">
      <c r="B205" s="201"/>
    </row>
    <row r="206" spans="1:9" ht="14.45" hidden="1" x14ac:dyDescent="0.3">
      <c r="B206" s="201"/>
      <c r="H206" s="202"/>
      <c r="I206" s="206"/>
    </row>
    <row r="207" spans="1:9" ht="14.45" hidden="1" x14ac:dyDescent="0.3">
      <c r="B207" s="201"/>
      <c r="H207" s="202"/>
      <c r="I207" s="206"/>
    </row>
    <row r="208" spans="1:9" ht="14.45" hidden="1" x14ac:dyDescent="0.3">
      <c r="B208" s="201"/>
    </row>
    <row r="209" spans="1:23" ht="14.45" hidden="1" x14ac:dyDescent="0.3">
      <c r="B209" s="201"/>
    </row>
    <row r="210" spans="1:23" ht="14.45" hidden="1" x14ac:dyDescent="0.3">
      <c r="B210" s="201"/>
    </row>
    <row r="211" spans="1:23" ht="32.450000000000003" customHeight="1" x14ac:dyDescent="0.25">
      <c r="B211" s="201"/>
    </row>
    <row r="212" spans="1:23" ht="10.15" customHeight="1" thickBot="1" x14ac:dyDescent="0.3">
      <c r="A212" s="201"/>
    </row>
    <row r="213" spans="1:23" ht="25.9" customHeight="1" thickBot="1" x14ac:dyDescent="0.3">
      <c r="A213" s="286"/>
      <c r="B213" s="287" t="s">
        <v>0</v>
      </c>
      <c r="C213" s="288"/>
      <c r="D213" s="289"/>
      <c r="E213" s="290" t="s">
        <v>1</v>
      </c>
      <c r="F213" s="291"/>
      <c r="G213" s="291"/>
      <c r="H213" s="292"/>
      <c r="I213" s="293"/>
      <c r="J213" s="288"/>
      <c r="K213" s="289"/>
      <c r="L213" s="290" t="s">
        <v>352</v>
      </c>
      <c r="M213" s="291"/>
      <c r="N213" s="291"/>
      <c r="O213" s="292"/>
      <c r="P213" s="293"/>
      <c r="Q213" s="294"/>
      <c r="R213" s="294"/>
      <c r="S213" s="290" t="s">
        <v>402</v>
      </c>
      <c r="T213" s="291"/>
      <c r="U213" s="291"/>
      <c r="V213" s="292"/>
      <c r="W213" s="295"/>
    </row>
    <row r="214" spans="1:23" ht="20.45" customHeight="1" thickBot="1" x14ac:dyDescent="0.3">
      <c r="A214" s="326"/>
      <c r="B214" s="327"/>
      <c r="C214" s="328"/>
      <c r="D214" s="329"/>
      <c r="E214" s="330" t="s">
        <v>2</v>
      </c>
      <c r="F214" s="331" t="s">
        <v>3</v>
      </c>
      <c r="G214" s="332" t="s">
        <v>4</v>
      </c>
      <c r="H214" s="333" t="s">
        <v>5</v>
      </c>
      <c r="I214" s="332" t="s">
        <v>6</v>
      </c>
      <c r="J214" s="328"/>
      <c r="K214" s="329"/>
      <c r="L214" s="330" t="s">
        <v>2</v>
      </c>
      <c r="M214" s="331" t="s">
        <v>3</v>
      </c>
      <c r="N214" s="332" t="s">
        <v>4</v>
      </c>
      <c r="O214" s="333" t="s">
        <v>5</v>
      </c>
      <c r="P214" s="332" t="s">
        <v>6</v>
      </c>
      <c r="Q214" s="334"/>
      <c r="R214" s="334"/>
      <c r="S214" s="335" t="s">
        <v>2</v>
      </c>
      <c r="T214" s="331" t="s">
        <v>3</v>
      </c>
      <c r="U214" s="332" t="s">
        <v>4</v>
      </c>
      <c r="V214" s="333" t="s">
        <v>5</v>
      </c>
      <c r="W214" s="336" t="s">
        <v>6</v>
      </c>
    </row>
    <row r="215" spans="1:23" x14ac:dyDescent="0.25">
      <c r="A215" s="315" t="s">
        <v>7</v>
      </c>
      <c r="B215" s="315" t="s">
        <v>8</v>
      </c>
      <c r="C215" s="283"/>
      <c r="D215" s="284"/>
      <c r="E215" s="316">
        <f>E216+E222+E236+E238+E244+E249+E253+E255</f>
        <v>1577547.81</v>
      </c>
      <c r="F215" s="317">
        <f>F216+F222+F236+F238+F244+F249+F253+F255</f>
        <v>588673.81000000006</v>
      </c>
      <c r="G215" s="318">
        <f>G216+G222+G236+G238+G244+G249+G253+G256</f>
        <v>2166221.62</v>
      </c>
      <c r="H215" s="319">
        <f>H216+H222+H236+H238+H244+H249+H253+H255</f>
        <v>61281.06</v>
      </c>
      <c r="I215" s="320">
        <f>I216+I222+I236+I238+I244+I249+I253+I256</f>
        <v>2227502.6800000006</v>
      </c>
      <c r="J215" s="283"/>
      <c r="K215" s="284"/>
      <c r="L215" s="321">
        <f>L216+L222+L236+L238+L244+L249+L253+L255</f>
        <v>1511771.385</v>
      </c>
      <c r="M215" s="322">
        <f>M216+M222+M236+M238+M244+M249+M253+M255</f>
        <v>600527.12621999998</v>
      </c>
      <c r="N215" s="323">
        <f>N216+N222+N236+N238+N244+N249+N253+N256</f>
        <v>2112298.5112200002</v>
      </c>
      <c r="O215" s="324">
        <f>O216+O222+O236+O238+O244+O249+O253+O255</f>
        <v>60567.040000000001</v>
      </c>
      <c r="P215" s="325">
        <f>P216+P222+P236+P238+P244+P249+P253+P256</f>
        <v>2172865.5512200003</v>
      </c>
      <c r="Q215" s="285"/>
      <c r="R215" s="285"/>
      <c r="S215" s="321">
        <f>S216+S222+S236+S238+S244+S249+S253+S255</f>
        <v>1521362.7299999997</v>
      </c>
      <c r="T215" s="322">
        <f>T216+T222+T236+T238+T244+T249+T253+T255</f>
        <v>554911.37</v>
      </c>
      <c r="U215" s="323">
        <f>U216+U222+U236+U238+U244+U249+U253+U256</f>
        <v>2076274.1</v>
      </c>
      <c r="V215" s="324">
        <f>V216+V222+V236+V238+V244+V249+V253+V255</f>
        <v>54174.30000000001</v>
      </c>
      <c r="W215" s="325">
        <f>W216+W222+W236+W238+W244+W249+W253+W256</f>
        <v>2130448.4000000004</v>
      </c>
    </row>
    <row r="216" spans="1:23" x14ac:dyDescent="0.25">
      <c r="A216" s="208" t="s">
        <v>9</v>
      </c>
      <c r="B216" s="208" t="s">
        <v>10</v>
      </c>
      <c r="C216" s="120"/>
      <c r="D216" s="189"/>
      <c r="E216" s="209">
        <f>SUM(E217:E221)</f>
        <v>163908.63999999998</v>
      </c>
      <c r="F216" s="210">
        <f>SUM(F217:F221)</f>
        <v>96907.82</v>
      </c>
      <c r="G216" s="211">
        <f>SUM(G217:G221)</f>
        <v>260816.45999999996</v>
      </c>
      <c r="H216" s="212">
        <f>SUM(H217:H221)</f>
        <v>20528.72</v>
      </c>
      <c r="I216" s="45">
        <f t="shared" ref="I216:I221" si="39">G216+H216</f>
        <v>281345.17999999993</v>
      </c>
      <c r="J216" s="120"/>
      <c r="K216" s="189"/>
      <c r="L216" s="213">
        <f>SUM(L217:L221)</f>
        <v>162717.51</v>
      </c>
      <c r="M216" s="214">
        <f>SUM(M217:M221)</f>
        <v>102077.99</v>
      </c>
      <c r="N216" s="215">
        <f>SUM(N217:N221)</f>
        <v>264795.5</v>
      </c>
      <c r="O216" s="216">
        <f>SUM(O217:O221)</f>
        <v>23960</v>
      </c>
      <c r="P216" s="129">
        <f t="shared" ref="P216:P221" si="40">N216+O216</f>
        <v>288755.5</v>
      </c>
      <c r="Q216" s="276"/>
      <c r="R216" s="276"/>
      <c r="S216" s="213">
        <f>SUM(S217:S221)</f>
        <v>146683.75</v>
      </c>
      <c r="T216" s="214">
        <f>SUM(T217:T221)</f>
        <v>90038.209999999992</v>
      </c>
      <c r="U216" s="215">
        <f>SUM(U217:U221)</f>
        <v>236721.96000000002</v>
      </c>
      <c r="V216" s="216">
        <f>SUM(V217:V221)</f>
        <v>16973.800000000003</v>
      </c>
      <c r="W216" s="129">
        <f t="shared" ref="W216:W221" si="41">U216+V216</f>
        <v>253695.76</v>
      </c>
    </row>
    <row r="217" spans="1:23" x14ac:dyDescent="0.25">
      <c r="A217" s="131">
        <v>4600</v>
      </c>
      <c r="B217" s="131" t="s">
        <v>353</v>
      </c>
      <c r="C217" s="120"/>
      <c r="D217" s="189"/>
      <c r="E217" s="217">
        <f>E5+E6+E7+E8+E9+E10+E11+E12</f>
        <v>117232.06</v>
      </c>
      <c r="F217" s="218">
        <f>F5+F6+F7+F8+F9+F10+F11+F12</f>
        <v>76111.180000000008</v>
      </c>
      <c r="G217" s="195">
        <f>E217+F217</f>
        <v>193343.24</v>
      </c>
      <c r="H217" s="219">
        <f>H5+H6+H7+H8+H9+H10+H11+H12</f>
        <v>3090.6900000000005</v>
      </c>
      <c r="I217" s="220">
        <f t="shared" si="39"/>
        <v>196433.93</v>
      </c>
      <c r="J217" s="120"/>
      <c r="K217" s="189"/>
      <c r="L217" s="221">
        <f>L5+L6+L7+L8+L9+L10+L11+L12</f>
        <v>109802.78</v>
      </c>
      <c r="M217" s="222">
        <f>M5+M6+M7+M8+M9+M10+M11+M12</f>
        <v>78775.91</v>
      </c>
      <c r="N217" s="34">
        <f>L217+M217</f>
        <v>188578.69</v>
      </c>
      <c r="O217" s="223">
        <f>O5+O6+O7+O8+O9+O10+O11+O12</f>
        <v>7550</v>
      </c>
      <c r="P217" s="224">
        <f t="shared" si="40"/>
        <v>196128.69</v>
      </c>
      <c r="Q217" s="276"/>
      <c r="R217" s="276"/>
      <c r="S217" s="221">
        <f>S5+S6+S7+S8+S9+S10+S11+S12</f>
        <v>111249.90999999999</v>
      </c>
      <c r="T217" s="222">
        <f>T5+T6+T7+T8+T9+T10+T11+T12</f>
        <v>69355.83</v>
      </c>
      <c r="U217" s="34">
        <f>S217+T217</f>
        <v>180605.74</v>
      </c>
      <c r="V217" s="223">
        <f>V5+V6+V7+V8+V9+V10+V11+V12</f>
        <v>3173.26</v>
      </c>
      <c r="W217" s="224">
        <f t="shared" si="41"/>
        <v>183779</v>
      </c>
    </row>
    <row r="218" spans="1:23" x14ac:dyDescent="0.25">
      <c r="A218" s="131">
        <v>4601</v>
      </c>
      <c r="B218" s="131" t="s">
        <v>354</v>
      </c>
      <c r="C218" s="120"/>
      <c r="D218" s="189"/>
      <c r="E218" s="217">
        <f>SUM(E13:E19)</f>
        <v>11866.880000000001</v>
      </c>
      <c r="F218" s="218">
        <f>SUM(F13:F19)</f>
        <v>8879.98</v>
      </c>
      <c r="G218" s="195">
        <f>E218+F218</f>
        <v>20746.86</v>
      </c>
      <c r="H218" s="219">
        <f>SUM(H13:H19)</f>
        <v>213.78</v>
      </c>
      <c r="I218" s="220">
        <f t="shared" si="39"/>
        <v>20960.64</v>
      </c>
      <c r="J218" s="120"/>
      <c r="K218" s="189"/>
      <c r="L218" s="221">
        <f>SUM(L13:L19)</f>
        <v>14959</v>
      </c>
      <c r="M218" s="222">
        <f>SUM(M13:M19)</f>
        <v>11130.8</v>
      </c>
      <c r="N218" s="34">
        <f>L218+M218</f>
        <v>26089.8</v>
      </c>
      <c r="O218" s="223">
        <f>SUM(O13:O19)</f>
        <v>410</v>
      </c>
      <c r="P218" s="224">
        <f t="shared" si="40"/>
        <v>26499.8</v>
      </c>
      <c r="Q218" s="276"/>
      <c r="R218" s="276"/>
      <c r="S218" s="221">
        <f>SUM(S13:S19)</f>
        <v>8626.31</v>
      </c>
      <c r="T218" s="222">
        <f>SUM(T13:T19)</f>
        <v>9171.5</v>
      </c>
      <c r="U218" s="34">
        <f>S218+T218</f>
        <v>17797.809999999998</v>
      </c>
      <c r="V218" s="223">
        <f>SUM(V13:V19)</f>
        <v>187.8</v>
      </c>
      <c r="W218" s="224">
        <f t="shared" si="41"/>
        <v>17985.609999999997</v>
      </c>
    </row>
    <row r="219" spans="1:23" x14ac:dyDescent="0.25">
      <c r="A219" s="131">
        <v>4602</v>
      </c>
      <c r="B219" s="131" t="s">
        <v>355</v>
      </c>
      <c r="C219" s="120"/>
      <c r="D219" s="189"/>
      <c r="E219" s="217">
        <f>E20+E21+E22</f>
        <v>33569.42</v>
      </c>
      <c r="F219" s="218">
        <f>F20+F21+F22</f>
        <v>11359.45</v>
      </c>
      <c r="G219" s="195">
        <f>E219+F219</f>
        <v>44928.869999999995</v>
      </c>
      <c r="H219" s="219">
        <f>H20+H21+H22</f>
        <v>17224.25</v>
      </c>
      <c r="I219" s="220">
        <f t="shared" si="39"/>
        <v>62153.119999999995</v>
      </c>
      <c r="J219" s="120"/>
      <c r="K219" s="189"/>
      <c r="L219" s="221">
        <f>L20+L21+L22</f>
        <v>36853</v>
      </c>
      <c r="M219" s="222">
        <f>M20+M21+M22</f>
        <v>11725</v>
      </c>
      <c r="N219" s="34">
        <f>L219+M219</f>
        <v>48578</v>
      </c>
      <c r="O219" s="223">
        <f>O20+O21+O22</f>
        <v>16000</v>
      </c>
      <c r="P219" s="224">
        <f t="shared" si="40"/>
        <v>64578</v>
      </c>
      <c r="Q219" s="276"/>
      <c r="R219" s="276"/>
      <c r="S219" s="221">
        <f>S20+S21+S22</f>
        <v>25760.18</v>
      </c>
      <c r="T219" s="222">
        <f>T20+T21+T22</f>
        <v>11040.340000000002</v>
      </c>
      <c r="U219" s="34">
        <f>S219+T219</f>
        <v>36800.520000000004</v>
      </c>
      <c r="V219" s="223">
        <f>V20+V21+V22</f>
        <v>13612.740000000002</v>
      </c>
      <c r="W219" s="224">
        <f t="shared" si="41"/>
        <v>50413.260000000009</v>
      </c>
    </row>
    <row r="220" spans="1:23" x14ac:dyDescent="0.25">
      <c r="A220" s="131">
        <v>4603</v>
      </c>
      <c r="B220" s="131" t="s">
        <v>356</v>
      </c>
      <c r="C220" s="120"/>
      <c r="D220" s="189"/>
      <c r="E220" s="217">
        <f>E23+E24</f>
        <v>1240.28</v>
      </c>
      <c r="F220" s="218">
        <f>F23+F24</f>
        <v>557.21</v>
      </c>
      <c r="G220" s="195">
        <f>E220+F220</f>
        <v>1797.49</v>
      </c>
      <c r="H220" s="219">
        <f>H23+H24</f>
        <v>0</v>
      </c>
      <c r="I220" s="220">
        <f t="shared" si="39"/>
        <v>1797.49</v>
      </c>
      <c r="J220" s="120"/>
      <c r="K220" s="189"/>
      <c r="L220" s="221">
        <f>L23+L24</f>
        <v>1102.73</v>
      </c>
      <c r="M220" s="222">
        <f>M23+M24</f>
        <v>446.28</v>
      </c>
      <c r="N220" s="34">
        <f>L220+M220</f>
        <v>1549.01</v>
      </c>
      <c r="O220" s="223">
        <f>O23+O24</f>
        <v>0</v>
      </c>
      <c r="P220" s="224">
        <f t="shared" si="40"/>
        <v>1549.01</v>
      </c>
      <c r="Q220" s="276"/>
      <c r="R220" s="276"/>
      <c r="S220" s="221">
        <f>S23+S24</f>
        <v>1047.3499999999999</v>
      </c>
      <c r="T220" s="222">
        <f>T23+T24</f>
        <v>470.54</v>
      </c>
      <c r="U220" s="34">
        <f>S220+T220</f>
        <v>1517.8899999999999</v>
      </c>
      <c r="V220" s="223">
        <f>V23+V24</f>
        <v>0</v>
      </c>
      <c r="W220" s="224">
        <f t="shared" si="41"/>
        <v>1517.8899999999999</v>
      </c>
    </row>
    <row r="221" spans="1:23" x14ac:dyDescent="0.25">
      <c r="A221" s="131">
        <v>4608</v>
      </c>
      <c r="B221" s="131" t="s">
        <v>357</v>
      </c>
      <c r="C221" s="120"/>
      <c r="D221" s="189"/>
      <c r="E221" s="217">
        <f>E25</f>
        <v>0</v>
      </c>
      <c r="F221" s="218">
        <f>F25</f>
        <v>0</v>
      </c>
      <c r="G221" s="195">
        <f>E221+F221</f>
        <v>0</v>
      </c>
      <c r="H221" s="219">
        <f>H25</f>
        <v>0</v>
      </c>
      <c r="I221" s="220">
        <f t="shared" si="39"/>
        <v>0</v>
      </c>
      <c r="J221" s="120"/>
      <c r="K221" s="189"/>
      <c r="L221" s="221">
        <f>L25</f>
        <v>0</v>
      </c>
      <c r="M221" s="222">
        <f>M25</f>
        <v>0</v>
      </c>
      <c r="N221" s="34">
        <f>L221+M221</f>
        <v>0</v>
      </c>
      <c r="O221" s="223">
        <f>O25</f>
        <v>0</v>
      </c>
      <c r="P221" s="224">
        <f t="shared" si="40"/>
        <v>0</v>
      </c>
      <c r="Q221" s="276"/>
      <c r="R221" s="276"/>
      <c r="S221" s="221">
        <f>S25</f>
        <v>0</v>
      </c>
      <c r="T221" s="222">
        <f>T25</f>
        <v>0</v>
      </c>
      <c r="U221" s="34">
        <f>S221+T221</f>
        <v>0</v>
      </c>
      <c r="V221" s="223">
        <f>V25</f>
        <v>0</v>
      </c>
      <c r="W221" s="224">
        <f t="shared" si="41"/>
        <v>0</v>
      </c>
    </row>
    <row r="222" spans="1:23" x14ac:dyDescent="0.25">
      <c r="A222" s="208" t="s">
        <v>55</v>
      </c>
      <c r="B222" s="208" t="s">
        <v>56</v>
      </c>
      <c r="C222" s="120"/>
      <c r="D222" s="189"/>
      <c r="E222" s="209">
        <f>SUM(E223:E235)</f>
        <v>148462.75999999998</v>
      </c>
      <c r="F222" s="210">
        <f>SUM(F223:F235)</f>
        <v>38821.22</v>
      </c>
      <c r="G222" s="211">
        <f>SUM(G223:G235)</f>
        <v>187283.98</v>
      </c>
      <c r="H222" s="212">
        <f>SUM(H223:H235)</f>
        <v>13475.089999999998</v>
      </c>
      <c r="I222" s="43">
        <f>SUM(I223:I235)</f>
        <v>200759.07000000004</v>
      </c>
      <c r="J222" s="120"/>
      <c r="K222" s="189"/>
      <c r="L222" s="213">
        <f>SUM(L223:L235)</f>
        <v>140990.65</v>
      </c>
      <c r="M222" s="214">
        <f>SUM(M223:M235)</f>
        <v>35378.58</v>
      </c>
      <c r="N222" s="215">
        <f>SUM(N223:N235)</f>
        <v>176369.22999999998</v>
      </c>
      <c r="O222" s="216">
        <f>SUM(O223:O235)</f>
        <v>9900</v>
      </c>
      <c r="P222" s="225">
        <f>SUM(P223:P235)</f>
        <v>186269.22999999998</v>
      </c>
      <c r="Q222" s="276"/>
      <c r="R222" s="276"/>
      <c r="S222" s="213">
        <f>SUM(S223:S235)</f>
        <v>144647.34</v>
      </c>
      <c r="T222" s="214">
        <f>SUM(T223:T235)</f>
        <v>43339.32</v>
      </c>
      <c r="U222" s="215">
        <f>SUM(U223:U235)</f>
        <v>187986.66</v>
      </c>
      <c r="V222" s="216">
        <f>SUM(V223:V235)</f>
        <v>11136.050000000001</v>
      </c>
      <c r="W222" s="225">
        <f>SUM(W223:W235)</f>
        <v>199122.71000000002</v>
      </c>
    </row>
    <row r="223" spans="1:23" x14ac:dyDescent="0.25">
      <c r="A223" s="131">
        <v>4610</v>
      </c>
      <c r="B223" s="131" t="s">
        <v>358</v>
      </c>
      <c r="C223" s="120"/>
      <c r="D223" s="189"/>
      <c r="E223" s="217">
        <f>E31+E32+E33+E34+E35+E36+E37+E38</f>
        <v>46133.229999999996</v>
      </c>
      <c r="F223" s="218">
        <f>F31+F32+F33+F34+F35+F36+F37+F38</f>
        <v>7986.3</v>
      </c>
      <c r="G223" s="195">
        <f t="shared" ref="G223:G237" si="42">E223+F223</f>
        <v>54119.53</v>
      </c>
      <c r="H223" s="219">
        <f>H31+H32+H33+H34+H35+H36+H37+H38</f>
        <v>0</v>
      </c>
      <c r="I223" s="220">
        <f t="shared" ref="I223:I235" si="43">G223+H223</f>
        <v>54119.53</v>
      </c>
      <c r="J223" s="120"/>
      <c r="K223" s="189"/>
      <c r="L223" s="221">
        <f>L31+L32+L33+L34+L35+L36+L37+L38</f>
        <v>42398.130000000005</v>
      </c>
      <c r="M223" s="222">
        <f>M31+M32+M33+M34+M35+M36+M37+M38</f>
        <v>4168.92</v>
      </c>
      <c r="N223" s="34">
        <f t="shared" ref="N223:N237" si="44">L223+M223</f>
        <v>46567.05</v>
      </c>
      <c r="O223" s="223">
        <f>O31+O32+O33+O34+O35+O36+O37+O38</f>
        <v>0</v>
      </c>
      <c r="P223" s="224">
        <f t="shared" ref="P223:P235" si="45">N223+O223</f>
        <v>46567.05</v>
      </c>
      <c r="Q223" s="276"/>
      <c r="R223" s="276"/>
      <c r="S223" s="221">
        <f>S31+S32+S33+S34+S35+S36+S37+S38</f>
        <v>50648.7</v>
      </c>
      <c r="T223" s="222">
        <f>T31+T32+T33+T34+T35+T36+T37+T38</f>
        <v>7879.1100000000006</v>
      </c>
      <c r="U223" s="34">
        <f t="shared" ref="U223:U237" si="46">S223+T223</f>
        <v>58527.81</v>
      </c>
      <c r="V223" s="223">
        <f>V31+V32+V33+V34+V35+V36+V37+V38</f>
        <v>0</v>
      </c>
      <c r="W223" s="224">
        <f t="shared" ref="W223:W235" si="47">U223+V223</f>
        <v>58527.81</v>
      </c>
    </row>
    <row r="224" spans="1:23" x14ac:dyDescent="0.25">
      <c r="A224" s="226">
        <v>4610</v>
      </c>
      <c r="B224" s="131" t="s">
        <v>359</v>
      </c>
      <c r="C224" s="120"/>
      <c r="D224" s="189"/>
      <c r="E224" s="227">
        <f>E27+E28+E29+E30+E39</f>
        <v>15210.78</v>
      </c>
      <c r="F224" s="228">
        <f>F27+F28+F29+F30+F39</f>
        <v>2043.0499999999997</v>
      </c>
      <c r="G224" s="195">
        <f t="shared" si="42"/>
        <v>17253.830000000002</v>
      </c>
      <c r="H224" s="229">
        <f>H27+H28+H29+H30+H39</f>
        <v>0</v>
      </c>
      <c r="I224" s="220">
        <f t="shared" si="43"/>
        <v>17253.830000000002</v>
      </c>
      <c r="J224" s="120"/>
      <c r="K224" s="189"/>
      <c r="L224" s="230">
        <f>L27+L28+L29+L30+L39</f>
        <v>8033.32</v>
      </c>
      <c r="M224" s="231">
        <f>M27+M28+M29+M30+M39</f>
        <v>2912.23</v>
      </c>
      <c r="N224" s="34">
        <f t="shared" si="44"/>
        <v>10945.55</v>
      </c>
      <c r="O224" s="232">
        <f>O27+O28+O29+O30+O39</f>
        <v>2100</v>
      </c>
      <c r="P224" s="224">
        <f t="shared" si="45"/>
        <v>13045.55</v>
      </c>
      <c r="Q224" s="276"/>
      <c r="R224" s="276"/>
      <c r="S224" s="230">
        <f>S27+S28+S29+S30+S39</f>
        <v>6493.01</v>
      </c>
      <c r="T224" s="231">
        <f>T27+T28+T29+T30+T39</f>
        <v>1622.88</v>
      </c>
      <c r="U224" s="34">
        <f t="shared" si="46"/>
        <v>8115.89</v>
      </c>
      <c r="V224" s="232">
        <f>V27+V28+V29+V30+V39</f>
        <v>0</v>
      </c>
      <c r="W224" s="224">
        <f t="shared" si="47"/>
        <v>8115.89</v>
      </c>
    </row>
    <row r="225" spans="1:23" x14ac:dyDescent="0.25">
      <c r="A225" s="131">
        <v>4611</v>
      </c>
      <c r="B225" s="131" t="s">
        <v>360</v>
      </c>
      <c r="C225" s="120"/>
      <c r="D225" s="189"/>
      <c r="E225" s="217">
        <f>E40+E41+E42</f>
        <v>1072.8400000000001</v>
      </c>
      <c r="F225" s="218">
        <f>F40+F41+F42</f>
        <v>510.67</v>
      </c>
      <c r="G225" s="195">
        <f t="shared" si="42"/>
        <v>1583.5100000000002</v>
      </c>
      <c r="H225" s="219">
        <f>H40+H41+H42</f>
        <v>221.1</v>
      </c>
      <c r="I225" s="220">
        <f t="shared" si="43"/>
        <v>1804.6100000000001</v>
      </c>
      <c r="J225" s="120"/>
      <c r="K225" s="189"/>
      <c r="L225" s="221">
        <f>L40+L41+L42</f>
        <v>2869.9</v>
      </c>
      <c r="M225" s="222">
        <f>M40+M41+M42</f>
        <v>901.84999999999991</v>
      </c>
      <c r="N225" s="34">
        <f t="shared" si="44"/>
        <v>3771.75</v>
      </c>
      <c r="O225" s="223">
        <f>O40+O41+O42</f>
        <v>0</v>
      </c>
      <c r="P225" s="224">
        <f t="shared" si="45"/>
        <v>3771.75</v>
      </c>
      <c r="Q225" s="276"/>
      <c r="R225" s="276"/>
      <c r="S225" s="221">
        <f>S40+S41+S42</f>
        <v>2696.33</v>
      </c>
      <c r="T225" s="222">
        <f>T40+T41+T42</f>
        <v>981.21</v>
      </c>
      <c r="U225" s="34">
        <f t="shared" si="46"/>
        <v>3677.54</v>
      </c>
      <c r="V225" s="223">
        <f>V40+V41+V42</f>
        <v>61.73</v>
      </c>
      <c r="W225" s="224">
        <f t="shared" si="47"/>
        <v>3739.27</v>
      </c>
    </row>
    <row r="226" spans="1:23" x14ac:dyDescent="0.25">
      <c r="A226" s="131">
        <v>4612</v>
      </c>
      <c r="B226" s="131" t="s">
        <v>361</v>
      </c>
      <c r="C226" s="120"/>
      <c r="D226" s="189"/>
      <c r="E226" s="217">
        <f>E43+E44+E45+E46+E47+E48</f>
        <v>7852.76</v>
      </c>
      <c r="F226" s="218">
        <f>F43+F44+F45+F46+F47+F48</f>
        <v>4946.79</v>
      </c>
      <c r="G226" s="195">
        <f t="shared" si="42"/>
        <v>12799.55</v>
      </c>
      <c r="H226" s="219">
        <f>H43+H44+H45+H46+H47+H48</f>
        <v>705.79</v>
      </c>
      <c r="I226" s="220">
        <f t="shared" si="43"/>
        <v>13505.34</v>
      </c>
      <c r="J226" s="120"/>
      <c r="K226" s="189"/>
      <c r="L226" s="221">
        <f>L43+L44+L45+L46+L47+L48</f>
        <v>10333.039999999999</v>
      </c>
      <c r="M226" s="222">
        <f>M43+M44+M45+M46+M47+M48</f>
        <v>5651.74</v>
      </c>
      <c r="N226" s="34">
        <f t="shared" si="44"/>
        <v>15984.779999999999</v>
      </c>
      <c r="O226" s="223">
        <f>O43+O44+O45+O46+O47+O48</f>
        <v>1000</v>
      </c>
      <c r="P226" s="224">
        <f t="shared" si="45"/>
        <v>16984.78</v>
      </c>
      <c r="Q226" s="276"/>
      <c r="R226" s="276"/>
      <c r="S226" s="221">
        <f>S43+S44+S45+S46+S47+S48</f>
        <v>7880.97</v>
      </c>
      <c r="T226" s="222">
        <f>T43+T44+T45+T46+T47+T48</f>
        <v>5372.76</v>
      </c>
      <c r="U226" s="34">
        <f t="shared" si="46"/>
        <v>13253.73</v>
      </c>
      <c r="V226" s="223">
        <f>V43+V44+V45+V46+V47+V48</f>
        <v>681.04</v>
      </c>
      <c r="W226" s="224">
        <f t="shared" si="47"/>
        <v>13934.77</v>
      </c>
    </row>
    <row r="227" spans="1:23" x14ac:dyDescent="0.25">
      <c r="A227" s="131">
        <v>4613</v>
      </c>
      <c r="B227" s="131" t="s">
        <v>362</v>
      </c>
      <c r="C227" s="120"/>
      <c r="D227" s="189"/>
      <c r="E227" s="217">
        <f>E49+E50+E51</f>
        <v>1503.21</v>
      </c>
      <c r="F227" s="218">
        <f>F49+F50+F51</f>
        <v>675.36</v>
      </c>
      <c r="G227" s="195">
        <f t="shared" si="42"/>
        <v>2178.5700000000002</v>
      </c>
      <c r="H227" s="219">
        <f>H49+H50+H51</f>
        <v>0</v>
      </c>
      <c r="I227" s="220">
        <f t="shared" si="43"/>
        <v>2178.5700000000002</v>
      </c>
      <c r="J227" s="120"/>
      <c r="K227" s="189"/>
      <c r="L227" s="221">
        <f>L49+L50+L51</f>
        <v>1173</v>
      </c>
      <c r="M227" s="222">
        <f>M49+M50+M51</f>
        <v>527</v>
      </c>
      <c r="N227" s="34">
        <f t="shared" si="44"/>
        <v>1700</v>
      </c>
      <c r="O227" s="223">
        <f>O49+O50+O51</f>
        <v>0</v>
      </c>
      <c r="P227" s="224">
        <f t="shared" si="45"/>
        <v>1700</v>
      </c>
      <c r="Q227" s="276"/>
      <c r="R227" s="276"/>
      <c r="S227" s="221">
        <f>S49+S50+S51</f>
        <v>1200.55</v>
      </c>
      <c r="T227" s="222">
        <f>T49+T50+T51</f>
        <v>539.35</v>
      </c>
      <c r="U227" s="34">
        <f t="shared" si="46"/>
        <v>1739.9</v>
      </c>
      <c r="V227" s="223">
        <f>V49+V50+V51</f>
        <v>0</v>
      </c>
      <c r="W227" s="224">
        <f t="shared" si="47"/>
        <v>1739.9</v>
      </c>
    </row>
    <row r="228" spans="1:23" x14ac:dyDescent="0.25">
      <c r="A228" s="131">
        <v>4613</v>
      </c>
      <c r="B228" s="131" t="s">
        <v>363</v>
      </c>
      <c r="C228" s="120"/>
      <c r="D228" s="189"/>
      <c r="E228" s="217">
        <f>E52</f>
        <v>26426.52</v>
      </c>
      <c r="F228" s="218">
        <f>F52</f>
        <v>213.87</v>
      </c>
      <c r="G228" s="195">
        <f t="shared" si="42"/>
        <v>26640.39</v>
      </c>
      <c r="H228" s="219">
        <f>H52</f>
        <v>0</v>
      </c>
      <c r="I228" s="220">
        <f t="shared" si="43"/>
        <v>26640.39</v>
      </c>
      <c r="J228" s="120"/>
      <c r="K228" s="189"/>
      <c r="L228" s="221">
        <f>L52</f>
        <v>26046.46</v>
      </c>
      <c r="M228" s="222">
        <f>M52</f>
        <v>1349.57</v>
      </c>
      <c r="N228" s="34">
        <f t="shared" si="44"/>
        <v>27396.03</v>
      </c>
      <c r="O228" s="223">
        <f>O52</f>
        <v>0</v>
      </c>
      <c r="P228" s="224">
        <f t="shared" si="45"/>
        <v>27396.03</v>
      </c>
      <c r="Q228" s="276"/>
      <c r="R228" s="276"/>
      <c r="S228" s="221">
        <f>S52</f>
        <v>24600.39</v>
      </c>
      <c r="T228" s="222">
        <f>T52</f>
        <v>354.05</v>
      </c>
      <c r="U228" s="34">
        <f t="shared" si="46"/>
        <v>24954.44</v>
      </c>
      <c r="V228" s="223">
        <f>V52</f>
        <v>0</v>
      </c>
      <c r="W228" s="224">
        <f t="shared" si="47"/>
        <v>24954.44</v>
      </c>
    </row>
    <row r="229" spans="1:23" x14ac:dyDescent="0.25">
      <c r="A229" s="131">
        <v>4614</v>
      </c>
      <c r="B229" s="131" t="s">
        <v>364</v>
      </c>
      <c r="C229" s="4"/>
      <c r="D229" s="189"/>
      <c r="E229" s="217">
        <f>E53+E55+E56</f>
        <v>1809.85</v>
      </c>
      <c r="F229" s="218">
        <f>F53+F55+F56</f>
        <v>30.8</v>
      </c>
      <c r="G229" s="195">
        <f t="shared" si="42"/>
        <v>1840.6499999999999</v>
      </c>
      <c r="H229" s="219">
        <f>H53+H55+H56</f>
        <v>16</v>
      </c>
      <c r="I229" s="220">
        <f t="shared" si="43"/>
        <v>1856.6499999999999</v>
      </c>
      <c r="J229" s="4"/>
      <c r="K229" s="189"/>
      <c r="L229" s="221">
        <f>L53+L55+L56</f>
        <v>2790.05</v>
      </c>
      <c r="M229" s="222">
        <f>M53+M55+M56</f>
        <v>202.5</v>
      </c>
      <c r="N229" s="34">
        <f t="shared" si="44"/>
        <v>2992.55</v>
      </c>
      <c r="O229" s="223">
        <f>O53+O55+O56</f>
        <v>0</v>
      </c>
      <c r="P229" s="224">
        <f t="shared" si="45"/>
        <v>2992.55</v>
      </c>
      <c r="Q229" s="276"/>
      <c r="R229" s="276"/>
      <c r="S229" s="221">
        <f>S53+S54+S55+S56</f>
        <v>1913.6799999999998</v>
      </c>
      <c r="T229" s="222">
        <f>T53+T55+T56</f>
        <v>66.960000000000008</v>
      </c>
      <c r="U229" s="34">
        <f t="shared" si="46"/>
        <v>1980.6399999999999</v>
      </c>
      <c r="V229" s="223">
        <f>V53+V55+V56</f>
        <v>0</v>
      </c>
      <c r="W229" s="224">
        <f t="shared" si="47"/>
        <v>1980.6399999999999</v>
      </c>
    </row>
    <row r="230" spans="1:23" x14ac:dyDescent="0.25">
      <c r="A230" s="131">
        <v>4615</v>
      </c>
      <c r="B230" s="131" t="s">
        <v>365</v>
      </c>
      <c r="C230" s="27"/>
      <c r="D230" s="189"/>
      <c r="E230" s="217">
        <f>E57+E58+E59+E60+E61+E62+E63</f>
        <v>35011.589999999997</v>
      </c>
      <c r="F230" s="218">
        <f>F57+F58+F59+F60+F61+F62+F63</f>
        <v>5835.0900000000011</v>
      </c>
      <c r="G230" s="195">
        <f t="shared" si="42"/>
        <v>40846.68</v>
      </c>
      <c r="H230" s="219">
        <f>H57+H58+H59+H60+H61+H62+H63</f>
        <v>12493.599999999999</v>
      </c>
      <c r="I230" s="220">
        <f t="shared" si="43"/>
        <v>53340.28</v>
      </c>
      <c r="J230" s="27"/>
      <c r="K230" s="189"/>
      <c r="L230" s="221">
        <f>L57+L58+L59+L60+L61+L62+L63</f>
        <v>28169.1</v>
      </c>
      <c r="M230" s="222">
        <f>M57+M58+M59+M60+M61+M62+M63</f>
        <v>12241.6</v>
      </c>
      <c r="N230" s="34">
        <f t="shared" si="44"/>
        <v>40410.699999999997</v>
      </c>
      <c r="O230" s="223">
        <f>O57+O58+O59+O60+O61+O62+O63</f>
        <v>6800</v>
      </c>
      <c r="P230" s="224">
        <f t="shared" si="45"/>
        <v>47210.7</v>
      </c>
      <c r="Q230" s="276"/>
      <c r="R230" s="276"/>
      <c r="S230" s="221">
        <f>S57+S58+S59+S60+S61+S62+S63</f>
        <v>32804.980000000003</v>
      </c>
      <c r="T230" s="222">
        <f>T57+T58+T59+T60+T61+T62+T63</f>
        <v>7313.6900000000005</v>
      </c>
      <c r="U230" s="34">
        <f t="shared" si="46"/>
        <v>40118.670000000006</v>
      </c>
      <c r="V230" s="223">
        <f>V57+V58+V59+V60+V61+V62+V63</f>
        <v>10265.18</v>
      </c>
      <c r="W230" s="224">
        <f t="shared" si="47"/>
        <v>50383.850000000006</v>
      </c>
    </row>
    <row r="231" spans="1:23" x14ac:dyDescent="0.25">
      <c r="A231" s="131">
        <v>4616</v>
      </c>
      <c r="B231" s="131" t="s">
        <v>366</v>
      </c>
      <c r="C231" s="12"/>
      <c r="D231" s="189"/>
      <c r="E231" s="217">
        <f>E64+E65</f>
        <v>3841.16</v>
      </c>
      <c r="F231" s="218">
        <f>F64+F65</f>
        <v>1010.26</v>
      </c>
      <c r="G231" s="195">
        <f t="shared" si="42"/>
        <v>4851.42</v>
      </c>
      <c r="H231" s="219">
        <f>H64+H65</f>
        <v>0</v>
      </c>
      <c r="I231" s="220">
        <f t="shared" si="43"/>
        <v>4851.42</v>
      </c>
      <c r="J231" s="12"/>
      <c r="K231" s="189"/>
      <c r="L231" s="221">
        <f>L64+L65</f>
        <v>3344.1</v>
      </c>
      <c r="M231" s="222">
        <f>M64+M65</f>
        <v>1365.9</v>
      </c>
      <c r="N231" s="34">
        <f t="shared" si="44"/>
        <v>4710</v>
      </c>
      <c r="O231" s="223">
        <f>O64+O65</f>
        <v>0</v>
      </c>
      <c r="P231" s="224">
        <f t="shared" si="45"/>
        <v>4710</v>
      </c>
      <c r="Q231" s="276"/>
      <c r="R231" s="276"/>
      <c r="S231" s="221">
        <f>S64+S65</f>
        <v>4205.45</v>
      </c>
      <c r="T231" s="222">
        <f>T64+T65</f>
        <v>1241.6899999999998</v>
      </c>
      <c r="U231" s="34">
        <f t="shared" si="46"/>
        <v>5447.1399999999994</v>
      </c>
      <c r="V231" s="223">
        <f>V64+V65</f>
        <v>0</v>
      </c>
      <c r="W231" s="224">
        <f t="shared" si="47"/>
        <v>5447.1399999999994</v>
      </c>
    </row>
    <row r="232" spans="1:23" x14ac:dyDescent="0.25">
      <c r="A232" s="131">
        <v>4617</v>
      </c>
      <c r="B232" s="131" t="s">
        <v>367</v>
      </c>
      <c r="C232" s="120"/>
      <c r="D232" s="189"/>
      <c r="E232" s="217">
        <f>E66+E67+E68</f>
        <v>2597.09</v>
      </c>
      <c r="F232" s="218">
        <f>F66+F67+F68</f>
        <v>0</v>
      </c>
      <c r="G232" s="195">
        <f t="shared" si="42"/>
        <v>2597.09</v>
      </c>
      <c r="H232" s="219">
        <f>H66+H67+H68</f>
        <v>0</v>
      </c>
      <c r="I232" s="220">
        <f t="shared" si="43"/>
        <v>2597.09</v>
      </c>
      <c r="J232" s="120"/>
      <c r="K232" s="189"/>
      <c r="L232" s="221">
        <f>L66+L67+L68</f>
        <v>6812.55</v>
      </c>
      <c r="M232" s="222">
        <f>M66+M67+M68</f>
        <v>0</v>
      </c>
      <c r="N232" s="34">
        <f t="shared" si="44"/>
        <v>6812.55</v>
      </c>
      <c r="O232" s="223">
        <f>O66+O67+O68</f>
        <v>0</v>
      </c>
      <c r="P232" s="224">
        <f t="shared" si="45"/>
        <v>6812.55</v>
      </c>
      <c r="Q232" s="276"/>
      <c r="R232" s="276"/>
      <c r="S232" s="221">
        <f>S66+S67+S68</f>
        <v>1918.18</v>
      </c>
      <c r="T232" s="222">
        <f>T66+T67+T68</f>
        <v>0</v>
      </c>
      <c r="U232" s="34">
        <f t="shared" si="46"/>
        <v>1918.18</v>
      </c>
      <c r="V232" s="223">
        <f>V66+V67+V68</f>
        <v>0</v>
      </c>
      <c r="W232" s="224">
        <f t="shared" si="47"/>
        <v>1918.18</v>
      </c>
    </row>
    <row r="233" spans="1:23" x14ac:dyDescent="0.25">
      <c r="A233" s="131">
        <v>4618</v>
      </c>
      <c r="B233" s="131" t="s">
        <v>368</v>
      </c>
      <c r="C233" s="120"/>
      <c r="D233" s="189"/>
      <c r="E233" s="217">
        <f>E69</f>
        <v>689</v>
      </c>
      <c r="F233" s="218">
        <f>F69</f>
        <v>0</v>
      </c>
      <c r="G233" s="195">
        <f t="shared" si="42"/>
        <v>689</v>
      </c>
      <c r="H233" s="219">
        <f>H69</f>
        <v>0</v>
      </c>
      <c r="I233" s="220">
        <f t="shared" si="43"/>
        <v>689</v>
      </c>
      <c r="J233" s="120"/>
      <c r="K233" s="189"/>
      <c r="L233" s="221">
        <f>L69</f>
        <v>0</v>
      </c>
      <c r="M233" s="222">
        <f>M69</f>
        <v>0</v>
      </c>
      <c r="N233" s="34">
        <f t="shared" si="44"/>
        <v>0</v>
      </c>
      <c r="O233" s="223">
        <f>O69</f>
        <v>0</v>
      </c>
      <c r="P233" s="224">
        <f t="shared" si="45"/>
        <v>0</v>
      </c>
      <c r="Q233" s="276"/>
      <c r="R233" s="276"/>
      <c r="S233" s="221">
        <f>S69</f>
        <v>0</v>
      </c>
      <c r="T233" s="222">
        <f>T69</f>
        <v>0</v>
      </c>
      <c r="U233" s="34">
        <f t="shared" si="46"/>
        <v>0</v>
      </c>
      <c r="V233" s="223">
        <f>V69</f>
        <v>0</v>
      </c>
      <c r="W233" s="224">
        <f t="shared" si="47"/>
        <v>0</v>
      </c>
    </row>
    <row r="234" spans="1:23" x14ac:dyDescent="0.25">
      <c r="A234" s="131">
        <v>4619</v>
      </c>
      <c r="B234" s="131" t="s">
        <v>369</v>
      </c>
      <c r="C234" s="120"/>
      <c r="D234" s="189"/>
      <c r="E234" s="217">
        <f>E70+E72</f>
        <v>5765.3899999999994</v>
      </c>
      <c r="F234" s="218">
        <f>F70+F72</f>
        <v>2257.98</v>
      </c>
      <c r="G234" s="195">
        <f t="shared" si="42"/>
        <v>8023.369999999999</v>
      </c>
      <c r="H234" s="219">
        <f>H70+H72</f>
        <v>38.6</v>
      </c>
      <c r="I234" s="220">
        <f t="shared" si="43"/>
        <v>8061.9699999999993</v>
      </c>
      <c r="J234" s="120"/>
      <c r="K234" s="189"/>
      <c r="L234" s="221">
        <f>L70+L72</f>
        <v>8400</v>
      </c>
      <c r="M234" s="222">
        <f>M70+M72</f>
        <v>2787.5</v>
      </c>
      <c r="N234" s="34">
        <f t="shared" si="44"/>
        <v>11187.5</v>
      </c>
      <c r="O234" s="223">
        <f>O70+O72</f>
        <v>0</v>
      </c>
      <c r="P234" s="224">
        <f t="shared" si="45"/>
        <v>11187.5</v>
      </c>
      <c r="Q234" s="276"/>
      <c r="R234" s="276"/>
      <c r="S234" s="221">
        <f>S70+S72</f>
        <v>9401.9599999999991</v>
      </c>
      <c r="T234" s="222">
        <f>T70+T72</f>
        <v>12157.94</v>
      </c>
      <c r="U234" s="34">
        <f t="shared" si="46"/>
        <v>21559.9</v>
      </c>
      <c r="V234" s="223">
        <f>V70+V72</f>
        <v>128.1</v>
      </c>
      <c r="W234" s="224">
        <f t="shared" si="47"/>
        <v>21688</v>
      </c>
    </row>
    <row r="235" spans="1:23" x14ac:dyDescent="0.25">
      <c r="A235" s="131">
        <v>4619</v>
      </c>
      <c r="B235" s="131" t="s">
        <v>370</v>
      </c>
      <c r="C235" s="120"/>
      <c r="D235" s="189"/>
      <c r="E235" s="217">
        <f>E74+E75+E76+E77+E78+E73+E71</f>
        <v>549.34</v>
      </c>
      <c r="F235" s="218">
        <f>F74+F75+F76+F77+F78+F73+F71</f>
        <v>13311.050000000001</v>
      </c>
      <c r="G235" s="195">
        <f t="shared" si="42"/>
        <v>13860.390000000001</v>
      </c>
      <c r="H235" s="219">
        <f>H74+H75+H76+H77+H78+H73+H71</f>
        <v>0</v>
      </c>
      <c r="I235" s="220">
        <f t="shared" si="43"/>
        <v>13860.390000000001</v>
      </c>
      <c r="J235" s="120"/>
      <c r="K235" s="189"/>
      <c r="L235" s="221">
        <f>L74+L75+L76+L77+L78+L73+L71</f>
        <v>621</v>
      </c>
      <c r="M235" s="222">
        <f>M74+M75+M76+M77+M78+M73+M71</f>
        <v>3269.77</v>
      </c>
      <c r="N235" s="34">
        <f t="shared" si="44"/>
        <v>3890.77</v>
      </c>
      <c r="O235" s="223">
        <f>O74+O75+O76+O77+O78+O73+O71</f>
        <v>0</v>
      </c>
      <c r="P235" s="224">
        <f t="shared" si="45"/>
        <v>3890.77</v>
      </c>
      <c r="Q235" s="276"/>
      <c r="R235" s="276"/>
      <c r="S235" s="221">
        <f>S74+S75+S76+S77+S78+S73+S71</f>
        <v>883.13999999999987</v>
      </c>
      <c r="T235" s="222">
        <f>T74+T75+T76+T77+T78+T73+T71</f>
        <v>5809.68</v>
      </c>
      <c r="U235" s="34">
        <f t="shared" si="46"/>
        <v>6692.82</v>
      </c>
      <c r="V235" s="223">
        <f>V74+V75+V76+V77+V78+V73+V71</f>
        <v>0</v>
      </c>
      <c r="W235" s="224">
        <f t="shared" si="47"/>
        <v>6692.82</v>
      </c>
    </row>
    <row r="236" spans="1:23" x14ac:dyDescent="0.25">
      <c r="A236" s="208" t="s">
        <v>161</v>
      </c>
      <c r="B236" s="208" t="s">
        <v>162</v>
      </c>
      <c r="C236" s="120"/>
      <c r="D236" s="189"/>
      <c r="E236" s="233">
        <f>E237</f>
        <v>19630.98</v>
      </c>
      <c r="F236" s="234">
        <f>F237</f>
        <v>6707.4</v>
      </c>
      <c r="G236" s="211">
        <f t="shared" si="42"/>
        <v>26338.379999999997</v>
      </c>
      <c r="H236" s="235">
        <f>H237</f>
        <v>1174.05</v>
      </c>
      <c r="I236" s="43">
        <f>I237</f>
        <v>27512.429999999997</v>
      </c>
      <c r="J236" s="120"/>
      <c r="K236" s="189"/>
      <c r="L236" s="236">
        <f>L237</f>
        <v>22538</v>
      </c>
      <c r="M236" s="237">
        <f>M237</f>
        <v>5520</v>
      </c>
      <c r="N236" s="215">
        <f t="shared" si="44"/>
        <v>28058</v>
      </c>
      <c r="O236" s="238">
        <f>O237</f>
        <v>0</v>
      </c>
      <c r="P236" s="225">
        <f>P237</f>
        <v>28058</v>
      </c>
      <c r="Q236" s="276"/>
      <c r="R236" s="276"/>
      <c r="S236" s="236">
        <f>S237</f>
        <v>20737.439999999999</v>
      </c>
      <c r="T236" s="237">
        <f>T237</f>
        <v>6389.11</v>
      </c>
      <c r="U236" s="215">
        <f t="shared" si="46"/>
        <v>27126.55</v>
      </c>
      <c r="V236" s="238">
        <f>V237</f>
        <v>0</v>
      </c>
      <c r="W236" s="225">
        <f>W237</f>
        <v>27126.55</v>
      </c>
    </row>
    <row r="237" spans="1:23" x14ac:dyDescent="0.25">
      <c r="A237" s="131">
        <v>4620</v>
      </c>
      <c r="B237" s="131" t="s">
        <v>371</v>
      </c>
      <c r="C237" s="120"/>
      <c r="D237" s="189"/>
      <c r="E237" s="217">
        <f>E80+E81</f>
        <v>19630.98</v>
      </c>
      <c r="F237" s="218">
        <f>F80+F81</f>
        <v>6707.4</v>
      </c>
      <c r="G237" s="195">
        <f t="shared" si="42"/>
        <v>26338.379999999997</v>
      </c>
      <c r="H237" s="219">
        <f>H80+H81</f>
        <v>1174.05</v>
      </c>
      <c r="I237" s="239">
        <f>G237+H237</f>
        <v>27512.429999999997</v>
      </c>
      <c r="J237" s="120"/>
      <c r="K237" s="189"/>
      <c r="L237" s="221">
        <f>L80+L81</f>
        <v>22538</v>
      </c>
      <c r="M237" s="222">
        <f>M80+M81</f>
        <v>5520</v>
      </c>
      <c r="N237" s="34">
        <f t="shared" si="44"/>
        <v>28058</v>
      </c>
      <c r="O237" s="223">
        <f>O80+O81</f>
        <v>0</v>
      </c>
      <c r="P237" s="240">
        <f>N237+O237</f>
        <v>28058</v>
      </c>
      <c r="Q237" s="276"/>
      <c r="R237" s="276"/>
      <c r="S237" s="221">
        <f>S80+S81</f>
        <v>20737.439999999999</v>
      </c>
      <c r="T237" s="222">
        <f>T80+T81</f>
        <v>6389.11</v>
      </c>
      <c r="U237" s="34">
        <f t="shared" si="46"/>
        <v>27126.55</v>
      </c>
      <c r="V237" s="223">
        <f>V80+V81</f>
        <v>0</v>
      </c>
      <c r="W237" s="240">
        <f>U237+V237</f>
        <v>27126.55</v>
      </c>
    </row>
    <row r="238" spans="1:23" x14ac:dyDescent="0.25">
      <c r="A238" s="208" t="s">
        <v>167</v>
      </c>
      <c r="B238" s="208" t="s">
        <v>168</v>
      </c>
      <c r="C238" s="12"/>
      <c r="D238" s="189"/>
      <c r="E238" s="209">
        <f>SUM(E239:E243)</f>
        <v>1238357.4000000001</v>
      </c>
      <c r="F238" s="210">
        <f>SUM(F239:F243)</f>
        <v>440627.15</v>
      </c>
      <c r="G238" s="211">
        <f>SUM(G239:G243)</f>
        <v>1678984.5499999998</v>
      </c>
      <c r="H238" s="212">
        <f>SUM(H239:H243)</f>
        <v>26085.859999999997</v>
      </c>
      <c r="I238" s="211">
        <f>SUM(I239:I243)</f>
        <v>1705070.4100000001</v>
      </c>
      <c r="J238" s="12"/>
      <c r="K238" s="189"/>
      <c r="L238" s="213">
        <f>SUM(L239:L243)</f>
        <v>1184416.3150000002</v>
      </c>
      <c r="M238" s="214">
        <f>SUM(M239:M243)</f>
        <v>456990.28622000001</v>
      </c>
      <c r="N238" s="215">
        <f>SUM(N239:N243)</f>
        <v>1641406.6012200001</v>
      </c>
      <c r="O238" s="216">
        <f>SUM(O239:O243)</f>
        <v>26707.040000000001</v>
      </c>
      <c r="P238" s="215">
        <f>SUM(P239:P243)</f>
        <v>1668113.6412200001</v>
      </c>
      <c r="Q238" s="276"/>
      <c r="R238" s="276"/>
      <c r="S238" s="213">
        <f>SUM(S239:S243)</f>
        <v>1206253.5499999998</v>
      </c>
      <c r="T238" s="214">
        <f>SUM(T239:T243)</f>
        <v>413158</v>
      </c>
      <c r="U238" s="215">
        <f>SUM(U239:U243)</f>
        <v>1619411.5500000003</v>
      </c>
      <c r="V238" s="216">
        <f>SUM(V239:V243)</f>
        <v>26055.05</v>
      </c>
      <c r="W238" s="215">
        <f>SUM(W239:W243)</f>
        <v>1645466.6</v>
      </c>
    </row>
    <row r="239" spans="1:23" x14ac:dyDescent="0.25">
      <c r="A239" s="131">
        <v>4640</v>
      </c>
      <c r="B239" s="131" t="s">
        <v>372</v>
      </c>
      <c r="C239" s="120"/>
      <c r="D239" s="189"/>
      <c r="E239" s="217">
        <f>E83+E84+E85</f>
        <v>1120289.78</v>
      </c>
      <c r="F239" s="218">
        <f>F83+F84+F85</f>
        <v>393912.68000000005</v>
      </c>
      <c r="G239" s="195">
        <f>E239+F239</f>
        <v>1514202.46</v>
      </c>
      <c r="H239" s="219">
        <f>H83+H84+H85</f>
        <v>22836.85</v>
      </c>
      <c r="I239" s="239">
        <f>G239+H239</f>
        <v>1537039.31</v>
      </c>
      <c r="J239" s="120"/>
      <c r="K239" s="189"/>
      <c r="L239" s="221">
        <f>L83+L84+L85</f>
        <v>1109120.7150000001</v>
      </c>
      <c r="M239" s="222">
        <f>M83+M84+M85</f>
        <v>414311.03622000001</v>
      </c>
      <c r="N239" s="34">
        <f>L239+M239</f>
        <v>1523431.75122</v>
      </c>
      <c r="O239" s="223">
        <f>O83+O84+O85</f>
        <v>23220</v>
      </c>
      <c r="P239" s="240">
        <f>N239+O239</f>
        <v>1546651.75122</v>
      </c>
      <c r="Q239" s="276"/>
      <c r="R239" s="276"/>
      <c r="S239" s="221">
        <f>S83+S84+S85</f>
        <v>1120703.03</v>
      </c>
      <c r="T239" s="222">
        <f>T83+T84+T85</f>
        <v>371995.59</v>
      </c>
      <c r="U239" s="34">
        <f>S239+T239</f>
        <v>1492698.62</v>
      </c>
      <c r="V239" s="223">
        <f>V83+V84+V85</f>
        <v>23110.81</v>
      </c>
      <c r="W239" s="240">
        <f>U239+V239</f>
        <v>1515809.4300000002</v>
      </c>
    </row>
    <row r="240" spans="1:23" x14ac:dyDescent="0.25">
      <c r="A240" s="131">
        <v>4642.43</v>
      </c>
      <c r="B240" s="131" t="s">
        <v>373</v>
      </c>
      <c r="C240" s="241"/>
      <c r="D240" s="189"/>
      <c r="E240" s="217">
        <f>E86+E87</f>
        <v>58562.11</v>
      </c>
      <c r="F240" s="218">
        <f>F86+F87</f>
        <v>23663.690000000002</v>
      </c>
      <c r="G240" s="195">
        <f>E240+F240</f>
        <v>82225.8</v>
      </c>
      <c r="H240" s="219">
        <f>H86+H87</f>
        <v>1759.44</v>
      </c>
      <c r="I240" s="239">
        <f>G240+H240</f>
        <v>83985.24</v>
      </c>
      <c r="J240" s="241"/>
      <c r="K240" s="189"/>
      <c r="L240" s="221">
        <f>L86+L87</f>
        <v>52250</v>
      </c>
      <c r="M240" s="222">
        <f>M86+M87</f>
        <v>25896.29</v>
      </c>
      <c r="N240" s="34">
        <f>L240+M240</f>
        <v>78146.290000000008</v>
      </c>
      <c r="O240" s="223">
        <f>O86+O87</f>
        <v>1820</v>
      </c>
      <c r="P240" s="240">
        <f>N240+O240</f>
        <v>79966.290000000008</v>
      </c>
      <c r="Q240" s="276"/>
      <c r="R240" s="276"/>
      <c r="S240" s="221">
        <f>S86+S87</f>
        <v>58674.659999999996</v>
      </c>
      <c r="T240" s="222">
        <f>T86+T87</f>
        <v>23437.14</v>
      </c>
      <c r="U240" s="34">
        <f>S240+T240</f>
        <v>82111.799999999988</v>
      </c>
      <c r="V240" s="223">
        <f>V86+V87</f>
        <v>1730.22</v>
      </c>
      <c r="W240" s="240">
        <f>U240+V240</f>
        <v>83842.01999999999</v>
      </c>
    </row>
    <row r="241" spans="1:23" x14ac:dyDescent="0.25">
      <c r="A241" s="131">
        <v>4643</v>
      </c>
      <c r="B241" s="131" t="s">
        <v>374</v>
      </c>
      <c r="C241" s="120"/>
      <c r="D241" s="189"/>
      <c r="E241" s="217">
        <f>E88</f>
        <v>9777.91</v>
      </c>
      <c r="F241" s="218">
        <f>F88</f>
        <v>4519.3500000000004</v>
      </c>
      <c r="G241" s="195">
        <f>E241+F241</f>
        <v>14297.26</v>
      </c>
      <c r="H241" s="219">
        <f>H88</f>
        <v>278.57</v>
      </c>
      <c r="I241" s="239">
        <f>G241+H241</f>
        <v>14575.83</v>
      </c>
      <c r="J241" s="120"/>
      <c r="K241" s="189"/>
      <c r="L241" s="221">
        <f>L88</f>
        <v>4500</v>
      </c>
      <c r="M241" s="222">
        <f>M88</f>
        <v>1956.56</v>
      </c>
      <c r="N241" s="34">
        <f>L241+M241</f>
        <v>6456.5599999999995</v>
      </c>
      <c r="O241" s="223">
        <f>O88</f>
        <v>200</v>
      </c>
      <c r="P241" s="240">
        <f>N241+O241</f>
        <v>6656.5599999999995</v>
      </c>
      <c r="Q241" s="276"/>
      <c r="R241" s="276"/>
      <c r="S241" s="221">
        <f>S88</f>
        <v>4961.6399999999994</v>
      </c>
      <c r="T241" s="222">
        <f>T88</f>
        <v>2149.67</v>
      </c>
      <c r="U241" s="34">
        <f>S241+T241</f>
        <v>7111.3099999999995</v>
      </c>
      <c r="V241" s="223">
        <f>V88</f>
        <v>141.41999999999999</v>
      </c>
      <c r="W241" s="240">
        <f>U241+V241</f>
        <v>7252.73</v>
      </c>
    </row>
    <row r="242" spans="1:23" x14ac:dyDescent="0.25">
      <c r="A242" s="131">
        <v>4644</v>
      </c>
      <c r="B242" s="131" t="s">
        <v>375</v>
      </c>
      <c r="C242" s="120"/>
      <c r="D242" s="189"/>
      <c r="E242" s="217">
        <f>E89+E90+E91+E92</f>
        <v>29269.030000000002</v>
      </c>
      <c r="F242" s="218">
        <f>F89+F90+F91+F92</f>
        <v>12428.61</v>
      </c>
      <c r="G242" s="195">
        <f>E242+F242</f>
        <v>41697.64</v>
      </c>
      <c r="H242" s="219">
        <f>H89+H90+H91+H92</f>
        <v>1176.4000000000001</v>
      </c>
      <c r="I242" s="239">
        <f>G242+H242</f>
        <v>42874.04</v>
      </c>
      <c r="J242" s="120"/>
      <c r="K242" s="189"/>
      <c r="L242" s="221">
        <f>L89+L90+L91+L92</f>
        <v>18545.599999999999</v>
      </c>
      <c r="M242" s="222">
        <f>M89+M90+M91+M92</f>
        <v>14826.4</v>
      </c>
      <c r="N242" s="34">
        <f>L242+M242</f>
        <v>33372</v>
      </c>
      <c r="O242" s="223">
        <f>O89+O90+O91+O92</f>
        <v>1467.04</v>
      </c>
      <c r="P242" s="240">
        <f>N242+O242</f>
        <v>34839.040000000001</v>
      </c>
      <c r="Q242" s="276"/>
      <c r="R242" s="276"/>
      <c r="S242" s="221">
        <f>S89+S90+S91+S92</f>
        <v>21914.219999999998</v>
      </c>
      <c r="T242" s="222">
        <f>T89+T90+T91+T92</f>
        <v>15575.6</v>
      </c>
      <c r="U242" s="34">
        <f>S242+T242</f>
        <v>37489.82</v>
      </c>
      <c r="V242" s="223">
        <f>V89+V90+V91+V92</f>
        <v>1072.5999999999999</v>
      </c>
      <c r="W242" s="240">
        <f>U242+V242</f>
        <v>38562.42</v>
      </c>
    </row>
    <row r="243" spans="1:23" x14ac:dyDescent="0.25">
      <c r="A243" s="131">
        <v>4649</v>
      </c>
      <c r="B243" s="131" t="s">
        <v>376</v>
      </c>
      <c r="C243" s="120"/>
      <c r="D243" s="189"/>
      <c r="E243" s="217">
        <f>E93</f>
        <v>20458.57</v>
      </c>
      <c r="F243" s="218">
        <f>F93</f>
        <v>6102.82</v>
      </c>
      <c r="G243" s="195">
        <f>E243+F243</f>
        <v>26561.39</v>
      </c>
      <c r="H243" s="219">
        <f>H93</f>
        <v>34.6</v>
      </c>
      <c r="I243" s="239">
        <f>G243+H243</f>
        <v>26595.989999999998</v>
      </c>
      <c r="J243" s="120"/>
      <c r="K243" s="189"/>
      <c r="L243" s="221">
        <f>L93</f>
        <v>0</v>
      </c>
      <c r="M243" s="222">
        <f>M93</f>
        <v>0</v>
      </c>
      <c r="N243" s="34">
        <f>L243+M243</f>
        <v>0</v>
      </c>
      <c r="O243" s="223">
        <f>O93</f>
        <v>0</v>
      </c>
      <c r="P243" s="240">
        <f>N243+O243</f>
        <v>0</v>
      </c>
      <c r="Q243" s="276"/>
      <c r="R243" s="276"/>
      <c r="S243" s="221">
        <f>S93</f>
        <v>0</v>
      </c>
      <c r="T243" s="222">
        <f>T93</f>
        <v>0</v>
      </c>
      <c r="U243" s="34">
        <f>S243+T243</f>
        <v>0</v>
      </c>
      <c r="V243" s="223">
        <f>V93</f>
        <v>0</v>
      </c>
      <c r="W243" s="240">
        <f>U243+V243</f>
        <v>0</v>
      </c>
    </row>
    <row r="244" spans="1:23" x14ac:dyDescent="0.25">
      <c r="A244" s="208" t="s">
        <v>191</v>
      </c>
      <c r="B244" s="208" t="s">
        <v>192</v>
      </c>
      <c r="C244" s="120"/>
      <c r="D244" s="189"/>
      <c r="E244" s="209">
        <f>SUM(E245:E248)</f>
        <v>2920.08</v>
      </c>
      <c r="F244" s="210">
        <f>SUM(F245:F248)</f>
        <v>3940.64</v>
      </c>
      <c r="G244" s="242">
        <f>G245+G246+G247+G248</f>
        <v>6860.7199999999993</v>
      </c>
      <c r="H244" s="212">
        <f>SUM(H245:H248)</f>
        <v>0</v>
      </c>
      <c r="I244" s="242">
        <f>I245+I246+I247+I248</f>
        <v>6860.7199999999993</v>
      </c>
      <c r="J244" s="120"/>
      <c r="K244" s="189"/>
      <c r="L244" s="213">
        <f>SUM(L245:L248)</f>
        <v>1108.9100000000001</v>
      </c>
      <c r="M244" s="214">
        <f>SUM(M245:M248)</f>
        <v>560.27</v>
      </c>
      <c r="N244" s="243">
        <f>N245+N246+N247+N248</f>
        <v>1669.18</v>
      </c>
      <c r="O244" s="216">
        <f>SUM(O245:O248)</f>
        <v>0</v>
      </c>
      <c r="P244" s="243">
        <f>P245+P246+P247+P248</f>
        <v>1669.18</v>
      </c>
      <c r="Q244" s="276"/>
      <c r="R244" s="276"/>
      <c r="S244" s="213">
        <f>SUM(S245:S248)</f>
        <v>522.83000000000004</v>
      </c>
      <c r="T244" s="214">
        <f>SUM(T245:T248)</f>
        <v>1498.35</v>
      </c>
      <c r="U244" s="243">
        <f>U245+U246+U247+U248</f>
        <v>2021.1799999999998</v>
      </c>
      <c r="V244" s="216">
        <f>SUM(V245:V248)</f>
        <v>0</v>
      </c>
      <c r="W244" s="243">
        <f>W245+W246+W247+W248</f>
        <v>2021.1799999999998</v>
      </c>
    </row>
    <row r="245" spans="1:23" x14ac:dyDescent="0.25">
      <c r="A245" s="131">
        <v>4650</v>
      </c>
      <c r="B245" s="207" t="s">
        <v>377</v>
      </c>
      <c r="C245" s="120"/>
      <c r="D245" s="189"/>
      <c r="E245" s="244">
        <f t="shared" ref="E245:F248" si="48">E95</f>
        <v>0</v>
      </c>
      <c r="F245" s="245">
        <f t="shared" si="48"/>
        <v>0</v>
      </c>
      <c r="G245" s="195">
        <f>E245+F245</f>
        <v>0</v>
      </c>
      <c r="H245" s="246">
        <f>H95</f>
        <v>0</v>
      </c>
      <c r="I245" s="239">
        <f>G245+H245</f>
        <v>0</v>
      </c>
      <c r="J245" s="120"/>
      <c r="K245" s="189"/>
      <c r="L245" s="247">
        <f t="shared" ref="L245:M248" si="49">L95</f>
        <v>0</v>
      </c>
      <c r="M245" s="248">
        <f t="shared" si="49"/>
        <v>0</v>
      </c>
      <c r="N245" s="34">
        <f>L245+M245</f>
        <v>0</v>
      </c>
      <c r="O245" s="249">
        <f>O95</f>
        <v>0</v>
      </c>
      <c r="P245" s="240">
        <f>N245+O245</f>
        <v>0</v>
      </c>
      <c r="Q245" s="276"/>
      <c r="R245" s="276"/>
      <c r="S245" s="247">
        <f t="shared" ref="S245:T248" si="50">S95</f>
        <v>0</v>
      </c>
      <c r="T245" s="248">
        <f t="shared" si="50"/>
        <v>0</v>
      </c>
      <c r="U245" s="34">
        <f>S245+T245</f>
        <v>0</v>
      </c>
      <c r="V245" s="249">
        <f>V95</f>
        <v>0</v>
      </c>
      <c r="W245" s="240">
        <f>U245+V245</f>
        <v>0</v>
      </c>
    </row>
    <row r="246" spans="1:23" x14ac:dyDescent="0.25">
      <c r="A246" s="131">
        <v>4652</v>
      </c>
      <c r="B246" s="207" t="s">
        <v>378</v>
      </c>
      <c r="C246" s="120"/>
      <c r="D246" s="189"/>
      <c r="E246" s="244">
        <f t="shared" si="48"/>
        <v>184</v>
      </c>
      <c r="F246" s="245">
        <f t="shared" si="48"/>
        <v>0</v>
      </c>
      <c r="G246" s="195">
        <f>E246+F246</f>
        <v>184</v>
      </c>
      <c r="H246" s="246">
        <f>H96</f>
        <v>0</v>
      </c>
      <c r="I246" s="239">
        <f>G246+H246</f>
        <v>184</v>
      </c>
      <c r="J246" s="120"/>
      <c r="K246" s="189"/>
      <c r="L246" s="247">
        <f t="shared" si="49"/>
        <v>0</v>
      </c>
      <c r="M246" s="248">
        <f t="shared" si="49"/>
        <v>0</v>
      </c>
      <c r="N246" s="34">
        <f>L246+M246</f>
        <v>0</v>
      </c>
      <c r="O246" s="249">
        <f>O96</f>
        <v>0</v>
      </c>
      <c r="P246" s="240">
        <f>N246+O246</f>
        <v>0</v>
      </c>
      <c r="Q246" s="276"/>
      <c r="R246" s="276"/>
      <c r="S246" s="247">
        <f t="shared" si="50"/>
        <v>308</v>
      </c>
      <c r="T246" s="248">
        <f t="shared" si="50"/>
        <v>44</v>
      </c>
      <c r="U246" s="34">
        <f>S246+T246</f>
        <v>352</v>
      </c>
      <c r="V246" s="249">
        <f>V96</f>
        <v>0</v>
      </c>
      <c r="W246" s="240">
        <f>U246+V246</f>
        <v>352</v>
      </c>
    </row>
    <row r="247" spans="1:23" x14ac:dyDescent="0.25">
      <c r="A247" s="131">
        <v>4655</v>
      </c>
      <c r="B247" s="131" t="s">
        <v>379</v>
      </c>
      <c r="C247" s="120"/>
      <c r="D247" s="189"/>
      <c r="E247" s="217">
        <f t="shared" si="48"/>
        <v>0</v>
      </c>
      <c r="F247" s="218">
        <f t="shared" si="48"/>
        <v>94</v>
      </c>
      <c r="G247" s="195">
        <f>E247+F247</f>
        <v>94</v>
      </c>
      <c r="H247" s="219">
        <f>H97</f>
        <v>0</v>
      </c>
      <c r="I247" s="239">
        <f>G247+H247</f>
        <v>94</v>
      </c>
      <c r="J247" s="120"/>
      <c r="K247" s="189"/>
      <c r="L247" s="221">
        <f t="shared" si="49"/>
        <v>0</v>
      </c>
      <c r="M247" s="222">
        <f t="shared" si="49"/>
        <v>0</v>
      </c>
      <c r="N247" s="34">
        <f>L247+M247</f>
        <v>0</v>
      </c>
      <c r="O247" s="223">
        <f>O97</f>
        <v>0</v>
      </c>
      <c r="P247" s="240">
        <f>N247+O247</f>
        <v>0</v>
      </c>
      <c r="Q247" s="276"/>
      <c r="R247" s="276"/>
      <c r="S247" s="221">
        <f t="shared" si="50"/>
        <v>0</v>
      </c>
      <c r="T247" s="222">
        <f t="shared" si="50"/>
        <v>0</v>
      </c>
      <c r="U247" s="34">
        <f>S247+T247</f>
        <v>0</v>
      </c>
      <c r="V247" s="223">
        <f>V97</f>
        <v>0</v>
      </c>
      <c r="W247" s="240">
        <f>U247+V247</f>
        <v>0</v>
      </c>
    </row>
    <row r="248" spans="1:23" x14ac:dyDescent="0.25">
      <c r="A248" s="131">
        <v>4659</v>
      </c>
      <c r="B248" s="131" t="s">
        <v>192</v>
      </c>
      <c r="C248" s="120"/>
      <c r="D248" s="189"/>
      <c r="E248" s="217">
        <f t="shared" si="48"/>
        <v>2736.08</v>
      </c>
      <c r="F248" s="218">
        <f t="shared" si="48"/>
        <v>3846.64</v>
      </c>
      <c r="G248" s="195">
        <f>E248+F248</f>
        <v>6582.7199999999993</v>
      </c>
      <c r="H248" s="219">
        <f>H98</f>
        <v>0</v>
      </c>
      <c r="I248" s="239">
        <f>G248+H248</f>
        <v>6582.7199999999993</v>
      </c>
      <c r="J248" s="120"/>
      <c r="K248" s="189"/>
      <c r="L248" s="221">
        <f t="shared" si="49"/>
        <v>1108.9100000000001</v>
      </c>
      <c r="M248" s="222">
        <f t="shared" si="49"/>
        <v>560.27</v>
      </c>
      <c r="N248" s="34">
        <f>L248+M248</f>
        <v>1669.18</v>
      </c>
      <c r="O248" s="223">
        <f>O98</f>
        <v>0</v>
      </c>
      <c r="P248" s="240">
        <f>N248+O248</f>
        <v>1669.18</v>
      </c>
      <c r="Q248" s="276"/>
      <c r="R248" s="276"/>
      <c r="S248" s="221">
        <f t="shared" si="50"/>
        <v>214.83</v>
      </c>
      <c r="T248" s="222">
        <f t="shared" si="50"/>
        <v>1454.35</v>
      </c>
      <c r="U248" s="34">
        <f>S248+T248</f>
        <v>1669.1799999999998</v>
      </c>
      <c r="V248" s="223">
        <f>V98</f>
        <v>0</v>
      </c>
      <c r="W248" s="240">
        <f>U248+V248</f>
        <v>1669.1799999999998</v>
      </c>
    </row>
    <row r="249" spans="1:23" x14ac:dyDescent="0.25">
      <c r="A249" s="208" t="s">
        <v>201</v>
      </c>
      <c r="B249" s="208" t="s">
        <v>202</v>
      </c>
      <c r="C249" s="120"/>
      <c r="D249" s="189"/>
      <c r="E249" s="209">
        <f>SUM(E250:E252)</f>
        <v>4202.7700000000004</v>
      </c>
      <c r="F249" s="210">
        <f>SUM(F250:F252)</f>
        <v>1669.58</v>
      </c>
      <c r="G249" s="242">
        <f>G250+G251+G252</f>
        <v>5872.35</v>
      </c>
      <c r="H249" s="212">
        <f>SUM(H250:H252)</f>
        <v>17.34</v>
      </c>
      <c r="I249" s="242">
        <f>I250+I251+I252</f>
        <v>5889.6900000000005</v>
      </c>
      <c r="J249" s="120"/>
      <c r="K249" s="189"/>
      <c r="L249" s="213">
        <f>SUM(L250:L252)</f>
        <v>0</v>
      </c>
      <c r="M249" s="214">
        <f>SUM(M250:M252)</f>
        <v>0</v>
      </c>
      <c r="N249" s="243">
        <f>N250+N251+N252</f>
        <v>0</v>
      </c>
      <c r="O249" s="216">
        <f>SUM(O250:O252)</f>
        <v>0</v>
      </c>
      <c r="P249" s="243">
        <f>P250+P251+P252</f>
        <v>0</v>
      </c>
      <c r="Q249" s="276"/>
      <c r="R249" s="276"/>
      <c r="S249" s="213">
        <f>SUM(S250:S252)</f>
        <v>2479.19</v>
      </c>
      <c r="T249" s="214">
        <f>SUM(T250:T252)</f>
        <v>485.99</v>
      </c>
      <c r="U249" s="243">
        <f>U250+U251+U252</f>
        <v>2965.1800000000003</v>
      </c>
      <c r="V249" s="216">
        <f>SUM(V250:V252)</f>
        <v>9.4</v>
      </c>
      <c r="W249" s="243">
        <f>W250+W251+W252</f>
        <v>2974.5800000000004</v>
      </c>
    </row>
    <row r="250" spans="1:23" x14ac:dyDescent="0.25">
      <c r="A250" s="131">
        <v>4670</v>
      </c>
      <c r="B250" s="131" t="s">
        <v>380</v>
      </c>
      <c r="C250" s="120"/>
      <c r="D250" s="189"/>
      <c r="E250" s="217">
        <f>E100</f>
        <v>0</v>
      </c>
      <c r="F250" s="218">
        <f>F100</f>
        <v>0</v>
      </c>
      <c r="G250" s="195">
        <f t="shared" ref="G250:G256" si="51">E250+F250</f>
        <v>0</v>
      </c>
      <c r="H250" s="219">
        <f>H100</f>
        <v>0</v>
      </c>
      <c r="I250" s="239">
        <f>G250+H250</f>
        <v>0</v>
      </c>
      <c r="J250" s="120"/>
      <c r="K250" s="189"/>
      <c r="L250" s="221">
        <f>L100</f>
        <v>0</v>
      </c>
      <c r="M250" s="222">
        <f>M100</f>
        <v>0</v>
      </c>
      <c r="N250" s="34">
        <f t="shared" ref="N250:N256" si="52">L250+M250</f>
        <v>0</v>
      </c>
      <c r="O250" s="223">
        <f>O100</f>
        <v>0</v>
      </c>
      <c r="P250" s="240">
        <f>N250+O250</f>
        <v>0</v>
      </c>
      <c r="Q250" s="276"/>
      <c r="R250" s="276"/>
      <c r="S250" s="221">
        <f>S100</f>
        <v>0</v>
      </c>
      <c r="T250" s="222">
        <f>T100</f>
        <v>0</v>
      </c>
      <c r="U250" s="34">
        <f t="shared" ref="U250:U256" si="53">S250+T250</f>
        <v>0</v>
      </c>
      <c r="V250" s="223">
        <f>V100</f>
        <v>0</v>
      </c>
      <c r="W250" s="240">
        <f>U250+V250</f>
        <v>0</v>
      </c>
    </row>
    <row r="251" spans="1:23" x14ac:dyDescent="0.25">
      <c r="A251" s="131">
        <v>4672</v>
      </c>
      <c r="B251" s="131" t="s">
        <v>381</v>
      </c>
      <c r="C251" s="12"/>
      <c r="D251" s="189"/>
      <c r="E251" s="217">
        <f>E101</f>
        <v>0</v>
      </c>
      <c r="F251" s="218">
        <f>F101</f>
        <v>0</v>
      </c>
      <c r="G251" s="195">
        <f t="shared" si="51"/>
        <v>0</v>
      </c>
      <c r="H251" s="219">
        <f>H101</f>
        <v>0</v>
      </c>
      <c r="I251" s="239">
        <f>G251+H251</f>
        <v>0</v>
      </c>
      <c r="J251" s="12"/>
      <c r="K251" s="189"/>
      <c r="L251" s="221">
        <f>L101</f>
        <v>0</v>
      </c>
      <c r="M251" s="222">
        <f>M101</f>
        <v>0</v>
      </c>
      <c r="N251" s="34">
        <f t="shared" si="52"/>
        <v>0</v>
      </c>
      <c r="O251" s="223">
        <f>O101</f>
        <v>0</v>
      </c>
      <c r="P251" s="240">
        <f>N251+O251</f>
        <v>0</v>
      </c>
      <c r="Q251" s="276"/>
      <c r="R251" s="276"/>
      <c r="S251" s="221">
        <f>S101</f>
        <v>0</v>
      </c>
      <c r="T251" s="222">
        <f>T101</f>
        <v>0</v>
      </c>
      <c r="U251" s="34">
        <f t="shared" si="53"/>
        <v>0</v>
      </c>
      <c r="V251" s="223">
        <f>V101</f>
        <v>0</v>
      </c>
      <c r="W251" s="240">
        <f>U251+V251</f>
        <v>0</v>
      </c>
    </row>
    <row r="252" spans="1:23" x14ac:dyDescent="0.25">
      <c r="A252" s="131">
        <v>4679</v>
      </c>
      <c r="B252" s="131" t="s">
        <v>210</v>
      </c>
      <c r="C252" s="120"/>
      <c r="D252" s="189"/>
      <c r="E252" s="217">
        <f>E103</f>
        <v>4202.7700000000004</v>
      </c>
      <c r="F252" s="218">
        <f>F103</f>
        <v>1669.58</v>
      </c>
      <c r="G252" s="195">
        <f t="shared" si="51"/>
        <v>5872.35</v>
      </c>
      <c r="H252" s="219">
        <f>H103</f>
        <v>17.34</v>
      </c>
      <c r="I252" s="239">
        <f>G252+H252</f>
        <v>5889.6900000000005</v>
      </c>
      <c r="J252" s="120"/>
      <c r="K252" s="189"/>
      <c r="L252" s="221">
        <f>L103</f>
        <v>0</v>
      </c>
      <c r="M252" s="222">
        <f>M103</f>
        <v>0</v>
      </c>
      <c r="N252" s="34">
        <f t="shared" si="52"/>
        <v>0</v>
      </c>
      <c r="O252" s="223">
        <f>O103</f>
        <v>0</v>
      </c>
      <c r="P252" s="240">
        <f>N252+O252</f>
        <v>0</v>
      </c>
      <c r="Q252" s="276"/>
      <c r="R252" s="276"/>
      <c r="S252" s="221">
        <f>S103</f>
        <v>2479.19</v>
      </c>
      <c r="T252" s="222">
        <f>T103</f>
        <v>485.99</v>
      </c>
      <c r="U252" s="34">
        <f t="shared" si="53"/>
        <v>2965.1800000000003</v>
      </c>
      <c r="V252" s="223">
        <f>V103</f>
        <v>9.4</v>
      </c>
      <c r="W252" s="240">
        <f>U252+V252</f>
        <v>2974.5800000000004</v>
      </c>
    </row>
    <row r="253" spans="1:23" x14ac:dyDescent="0.25">
      <c r="A253" s="208" t="s">
        <v>211</v>
      </c>
      <c r="B253" s="250" t="s">
        <v>212</v>
      </c>
      <c r="C253" s="12"/>
      <c r="D253" s="189"/>
      <c r="E253" s="209">
        <f>E254</f>
        <v>65.180000000000007</v>
      </c>
      <c r="F253" s="210">
        <f>F254</f>
        <v>0</v>
      </c>
      <c r="G253" s="112">
        <f t="shared" si="51"/>
        <v>65.180000000000007</v>
      </c>
      <c r="H253" s="212">
        <f>H254</f>
        <v>0</v>
      </c>
      <c r="I253" s="242">
        <f>I254</f>
        <v>65.180000000000007</v>
      </c>
      <c r="J253" s="12"/>
      <c r="K253" s="189"/>
      <c r="L253" s="213">
        <f>L254</f>
        <v>0</v>
      </c>
      <c r="M253" s="214">
        <f>M254</f>
        <v>0</v>
      </c>
      <c r="N253" s="251">
        <f t="shared" si="52"/>
        <v>0</v>
      </c>
      <c r="O253" s="216">
        <f>O254</f>
        <v>0</v>
      </c>
      <c r="P253" s="243">
        <f>P254</f>
        <v>0</v>
      </c>
      <c r="Q253" s="276"/>
      <c r="R253" s="276"/>
      <c r="S253" s="213">
        <f>S254</f>
        <v>38.630000000000003</v>
      </c>
      <c r="T253" s="214">
        <f>T254</f>
        <v>2.39</v>
      </c>
      <c r="U253" s="251">
        <f t="shared" si="53"/>
        <v>41.02</v>
      </c>
      <c r="V253" s="216">
        <f>V254</f>
        <v>0</v>
      </c>
      <c r="W253" s="243">
        <f>W254</f>
        <v>41.02</v>
      </c>
    </row>
    <row r="254" spans="1:23" x14ac:dyDescent="0.25">
      <c r="A254" s="131">
        <v>4689</v>
      </c>
      <c r="B254" s="131" t="s">
        <v>214</v>
      </c>
      <c r="C254" s="120"/>
      <c r="D254" s="189"/>
      <c r="E254" s="217">
        <f>E105</f>
        <v>65.180000000000007</v>
      </c>
      <c r="F254" s="218">
        <f>F105</f>
        <v>0</v>
      </c>
      <c r="G254" s="195">
        <f t="shared" si="51"/>
        <v>65.180000000000007</v>
      </c>
      <c r="H254" s="219">
        <f>H105</f>
        <v>0</v>
      </c>
      <c r="I254" s="239">
        <f>G254+H254</f>
        <v>65.180000000000007</v>
      </c>
      <c r="J254" s="120"/>
      <c r="K254" s="189"/>
      <c r="L254" s="221">
        <f>L105</f>
        <v>0</v>
      </c>
      <c r="M254" s="222">
        <f>M105</f>
        <v>0</v>
      </c>
      <c r="N254" s="34">
        <f t="shared" si="52"/>
        <v>0</v>
      </c>
      <c r="O254" s="223">
        <f>O105</f>
        <v>0</v>
      </c>
      <c r="P254" s="240">
        <f>N254+O254</f>
        <v>0</v>
      </c>
      <c r="Q254" s="276"/>
      <c r="R254" s="276"/>
      <c r="S254" s="221">
        <f>S105</f>
        <v>38.630000000000003</v>
      </c>
      <c r="T254" s="222">
        <f>T105</f>
        <v>2.39</v>
      </c>
      <c r="U254" s="34">
        <f t="shared" si="53"/>
        <v>41.02</v>
      </c>
      <c r="V254" s="223">
        <f>V105</f>
        <v>0</v>
      </c>
      <c r="W254" s="240">
        <f>U254+V254</f>
        <v>41.02</v>
      </c>
    </row>
    <row r="255" spans="1:23" x14ac:dyDescent="0.25">
      <c r="A255" s="208" t="s">
        <v>217</v>
      </c>
      <c r="B255" s="252" t="s">
        <v>382</v>
      </c>
      <c r="C255" s="120"/>
      <c r="D255" s="189"/>
      <c r="E255" s="209">
        <f>E256</f>
        <v>0</v>
      </c>
      <c r="F255" s="210">
        <f>F256</f>
        <v>0</v>
      </c>
      <c r="G255" s="112">
        <f t="shared" si="51"/>
        <v>0</v>
      </c>
      <c r="H255" s="212">
        <f>H256</f>
        <v>0</v>
      </c>
      <c r="I255" s="242">
        <f>I256</f>
        <v>0</v>
      </c>
      <c r="J255" s="120"/>
      <c r="K255" s="189"/>
      <c r="L255" s="213">
        <f>L256</f>
        <v>0</v>
      </c>
      <c r="M255" s="214">
        <f>M256</f>
        <v>0</v>
      </c>
      <c r="N255" s="251">
        <f t="shared" si="52"/>
        <v>0</v>
      </c>
      <c r="O255" s="216">
        <f>O256</f>
        <v>0</v>
      </c>
      <c r="P255" s="243">
        <f>P256</f>
        <v>0</v>
      </c>
      <c r="Q255" s="276"/>
      <c r="R255" s="276"/>
      <c r="S255" s="213">
        <f>S256</f>
        <v>0</v>
      </c>
      <c r="T255" s="214">
        <f>T256</f>
        <v>0</v>
      </c>
      <c r="U255" s="251">
        <f t="shared" si="53"/>
        <v>0</v>
      </c>
      <c r="V255" s="216">
        <f>V256</f>
        <v>0</v>
      </c>
      <c r="W255" s="243">
        <f>W256</f>
        <v>0</v>
      </c>
    </row>
    <row r="256" spans="1:23" x14ac:dyDescent="0.25">
      <c r="A256" s="207" t="s">
        <v>383</v>
      </c>
      <c r="B256" s="131" t="s">
        <v>382</v>
      </c>
      <c r="C256" s="120"/>
      <c r="D256" s="189"/>
      <c r="E256" s="217">
        <f>E108</f>
        <v>0</v>
      </c>
      <c r="F256" s="218">
        <f>F108</f>
        <v>0</v>
      </c>
      <c r="G256" s="195">
        <f t="shared" si="51"/>
        <v>0</v>
      </c>
      <c r="H256" s="219">
        <f>H108</f>
        <v>0</v>
      </c>
      <c r="I256" s="239">
        <f>G256+H256</f>
        <v>0</v>
      </c>
      <c r="J256" s="120"/>
      <c r="K256" s="189"/>
      <c r="L256" s="221">
        <f>L108</f>
        <v>0</v>
      </c>
      <c r="M256" s="222">
        <f>M108</f>
        <v>0</v>
      </c>
      <c r="N256" s="34">
        <f t="shared" si="52"/>
        <v>0</v>
      </c>
      <c r="O256" s="223">
        <f>O108</f>
        <v>0</v>
      </c>
      <c r="P256" s="240">
        <f>N256+O256</f>
        <v>0</v>
      </c>
      <c r="Q256" s="276"/>
      <c r="R256" s="276"/>
      <c r="S256" s="221">
        <f>S108</f>
        <v>0</v>
      </c>
      <c r="T256" s="222">
        <f>T108</f>
        <v>0</v>
      </c>
      <c r="U256" s="34">
        <f t="shared" si="53"/>
        <v>0</v>
      </c>
      <c r="V256" s="223">
        <f>V108</f>
        <v>0</v>
      </c>
      <c r="W256" s="240">
        <f>U256+V256</f>
        <v>0</v>
      </c>
    </row>
    <row r="257" spans="1:23" x14ac:dyDescent="0.25">
      <c r="A257" s="253">
        <v>76</v>
      </c>
      <c r="B257" s="253" t="s">
        <v>221</v>
      </c>
      <c r="C257" s="120"/>
      <c r="D257" s="189"/>
      <c r="E257" s="112">
        <f>E258+E268+E272+E275</f>
        <v>1568207.0399999998</v>
      </c>
      <c r="F257" s="254">
        <f>F258+F268+F272+F275</f>
        <v>588673.81000000006</v>
      </c>
      <c r="G257" s="112">
        <f>G258+G268+G272+G275</f>
        <v>2156880.8499999992</v>
      </c>
      <c r="H257" s="255">
        <f>H258+H268+H272+H275</f>
        <v>60263.569999999992</v>
      </c>
      <c r="I257" s="112">
        <f>I258+I268+I272+I275</f>
        <v>2217144.4199999995</v>
      </c>
      <c r="J257" s="120"/>
      <c r="K257" s="189"/>
      <c r="L257" s="251">
        <f>L258+L268+L272+L275</f>
        <v>1511652.5500000003</v>
      </c>
      <c r="M257" s="256">
        <f>M258+M268+M272+M275</f>
        <v>601525.98</v>
      </c>
      <c r="N257" s="251">
        <f>N258+N268+N272+N275</f>
        <v>2113178.5300000003</v>
      </c>
      <c r="O257" s="257">
        <f>O258+O268+O272+O275</f>
        <v>61000</v>
      </c>
      <c r="P257" s="251">
        <f>P258+P268+P272+P275</f>
        <v>2174178.5300000003</v>
      </c>
      <c r="Q257" s="276"/>
      <c r="R257" s="276"/>
      <c r="S257" s="251">
        <f>S258+S268+S272+S275</f>
        <v>1570336.43</v>
      </c>
      <c r="T257" s="256">
        <f>T258+T268+T272+T275</f>
        <v>555504.16</v>
      </c>
      <c r="U257" s="251">
        <f>U258+U268+U272+U275</f>
        <v>2125840.59</v>
      </c>
      <c r="V257" s="257">
        <f>V258+V268+V272+V275</f>
        <v>54174.3</v>
      </c>
      <c r="W257" s="251">
        <f>W258+W268+W272+W275</f>
        <v>2180014.89</v>
      </c>
    </row>
    <row r="258" spans="1:23" x14ac:dyDescent="0.25">
      <c r="A258" s="258">
        <v>760</v>
      </c>
      <c r="B258" s="258" t="s">
        <v>222</v>
      </c>
      <c r="C258" s="120"/>
      <c r="D258" s="189"/>
      <c r="E258" s="259">
        <f>SUM(E259:E267)</f>
        <v>1563611.2999999998</v>
      </c>
      <c r="F258" s="260">
        <f>SUM(F259:F267)</f>
        <v>588223.81000000006</v>
      </c>
      <c r="G258" s="123">
        <f>SUM(G259:G267)</f>
        <v>2151835.1099999994</v>
      </c>
      <c r="H258" s="261">
        <f>SUM(H259:H267)</f>
        <v>60263.569999999992</v>
      </c>
      <c r="I258" s="123">
        <f>SUM(I259:I267)</f>
        <v>2212098.6799999997</v>
      </c>
      <c r="J258" s="120"/>
      <c r="K258" s="189"/>
      <c r="L258" s="262">
        <f>SUM(L259:L267)</f>
        <v>1511242.5500000003</v>
      </c>
      <c r="M258" s="263">
        <f>SUM(M259:M267)</f>
        <v>601525.98</v>
      </c>
      <c r="N258" s="127">
        <f>SUM(N259:N267)</f>
        <v>2112768.5300000003</v>
      </c>
      <c r="O258" s="264">
        <f>SUM(O259:O267)</f>
        <v>61000</v>
      </c>
      <c r="P258" s="127">
        <f>SUM(P259:P267)</f>
        <v>2173768.5300000003</v>
      </c>
      <c r="Q258" s="276"/>
      <c r="R258" s="276"/>
      <c r="S258" s="262">
        <f>SUM(S259:S267)</f>
        <v>1569445.2</v>
      </c>
      <c r="T258" s="263">
        <f>SUM(T259:T267)</f>
        <v>555275.45000000007</v>
      </c>
      <c r="U258" s="127">
        <f>SUM(U259:U267)</f>
        <v>2124720.65</v>
      </c>
      <c r="V258" s="264">
        <f>SUM(V259:V267)</f>
        <v>54174.3</v>
      </c>
      <c r="W258" s="127">
        <f>SUM(W259:W267)</f>
        <v>2178894.9500000002</v>
      </c>
    </row>
    <row r="259" spans="1:23" x14ac:dyDescent="0.25">
      <c r="A259" s="131">
        <v>7600</v>
      </c>
      <c r="B259" s="131" t="s">
        <v>384</v>
      </c>
      <c r="C259" s="71"/>
      <c r="D259" s="189"/>
      <c r="E259" s="217">
        <f>E111+E114+E115+E116+E117+E118+E119+E120+E121+E122+E123+E124+E125+E126+E128+E129+E130+E132</f>
        <v>1276185.23</v>
      </c>
      <c r="F259" s="218">
        <f>F111+F114+F115+F116+F117+F118+F119+F120+F121+F122+F123+F124+F125+F126+F128+F129+F130+F132</f>
        <v>33502.019999999997</v>
      </c>
      <c r="G259" s="195">
        <f t="shared" ref="G259:G267" si="54">E259+F259</f>
        <v>1309687.25</v>
      </c>
      <c r="H259" s="219">
        <f>H111+H114+H115+H116+H117+H118+H119+H120+H121+H122+H123+H124+H125+H126+H128+H129+H130+H132</f>
        <v>0</v>
      </c>
      <c r="I259" s="239">
        <f t="shared" ref="I259:I267" si="55">G259+H259</f>
        <v>1309687.25</v>
      </c>
      <c r="J259" s="71"/>
      <c r="K259" s="189"/>
      <c r="L259" s="221">
        <f>L111+L114+L115+L116+L117+L118+L119+L120+L121+L122+L123+L124+L125+L126+L128+L129+L130</f>
        <v>1218236.0400000003</v>
      </c>
      <c r="M259" s="222">
        <f>M111+M114+M115+M116+M117+M118+M119+M120+M121+M122+M123+M124+M125+M126+M128+M129+M130</f>
        <v>29840.37</v>
      </c>
      <c r="N259" s="34">
        <f t="shared" ref="N259:N267" si="56">L259+M259</f>
        <v>1248076.4100000004</v>
      </c>
      <c r="O259" s="223">
        <f>O111+O114+O115+O116+O117+O118+O119+O120+O121+O122+O123+O124+O125+O126+O128+O129+O130</f>
        <v>0</v>
      </c>
      <c r="P259" s="240">
        <f t="shared" ref="P259:P267" si="57">N259+O259</f>
        <v>1248076.4100000004</v>
      </c>
      <c r="Q259" s="276"/>
      <c r="R259" s="276"/>
      <c r="S259" s="221">
        <f>S111+S114+S115+S116+S117+S118+S119+S120+S121+S122+S123+S124+S125+S126+S128+S129+S130</f>
        <v>1277928.9099999999</v>
      </c>
      <c r="T259" s="222">
        <f>T111+T114+T115+T116+T117+T118+T119+T120+T121+T122+T123+T124+T125+T126+T128+T129+T130</f>
        <v>28944.87</v>
      </c>
      <c r="U259" s="34">
        <f t="shared" ref="U259:U267" si="58">S259+T259</f>
        <v>1306873.78</v>
      </c>
      <c r="V259" s="223">
        <f>V111+V114+V115+V116+V117+V118+V119+V120+V121+V122+V123+V124+V125+V126+V128+V129+V130</f>
        <v>0</v>
      </c>
      <c r="W259" s="240">
        <f t="shared" ref="W259:W267" si="59">U259+V259</f>
        <v>1306873.78</v>
      </c>
    </row>
    <row r="260" spans="1:23" x14ac:dyDescent="0.25">
      <c r="A260" s="131">
        <v>7600</v>
      </c>
      <c r="B260" s="131" t="s">
        <v>385</v>
      </c>
      <c r="C260" s="71"/>
      <c r="D260" s="189"/>
      <c r="E260" s="217">
        <f>E112+E113+E131+E133</f>
        <v>24791.74</v>
      </c>
      <c r="F260" s="218">
        <f>F112+F113+F131+F133</f>
        <v>0</v>
      </c>
      <c r="G260" s="195">
        <f t="shared" si="54"/>
        <v>24791.74</v>
      </c>
      <c r="H260" s="219">
        <f>H112+H113+H131+H133</f>
        <v>0</v>
      </c>
      <c r="I260" s="239">
        <f t="shared" si="55"/>
        <v>24791.74</v>
      </c>
      <c r="J260" s="71"/>
      <c r="K260" s="189"/>
      <c r="L260" s="221">
        <f>L112+L113+L131+L133</f>
        <v>23000</v>
      </c>
      <c r="M260" s="222">
        <f>M112+M113+M131+M133</f>
        <v>0</v>
      </c>
      <c r="N260" s="34">
        <f t="shared" si="56"/>
        <v>23000</v>
      </c>
      <c r="O260" s="223">
        <f>O112+O113+O131+O133</f>
        <v>0</v>
      </c>
      <c r="P260" s="240">
        <f t="shared" si="57"/>
        <v>23000</v>
      </c>
      <c r="Q260" s="276"/>
      <c r="R260" s="276"/>
      <c r="S260" s="221">
        <f>S112+S113+S131+S133</f>
        <v>27499.32</v>
      </c>
      <c r="T260" s="222">
        <f>T112+T113+T131+T133</f>
        <v>0</v>
      </c>
      <c r="U260" s="34">
        <f t="shared" si="58"/>
        <v>27499.32</v>
      </c>
      <c r="V260" s="223">
        <f>V112+V113+V131+V133</f>
        <v>0</v>
      </c>
      <c r="W260" s="240">
        <f t="shared" si="59"/>
        <v>27499.32</v>
      </c>
    </row>
    <row r="261" spans="1:23" x14ac:dyDescent="0.25">
      <c r="A261" s="131">
        <v>7601</v>
      </c>
      <c r="B261" s="131" t="s">
        <v>386</v>
      </c>
      <c r="C261" s="71"/>
      <c r="D261" s="189"/>
      <c r="E261" s="217">
        <f>E134+E135+E136+E137+E138+E139+E140+E141+E142+E143</f>
        <v>71217.47</v>
      </c>
      <c r="F261" s="218">
        <f>F134+F135+F136+F137+F138+F139+F140+F141+F142+F143</f>
        <v>340542.10000000003</v>
      </c>
      <c r="G261" s="195">
        <f t="shared" si="54"/>
        <v>411759.57000000007</v>
      </c>
      <c r="H261" s="219">
        <f>H134+H135+H136+H137+H138+H139+H140+H141+H142+H143</f>
        <v>59363.81</v>
      </c>
      <c r="I261" s="239">
        <f t="shared" si="55"/>
        <v>471123.38000000006</v>
      </c>
      <c r="J261" s="71"/>
      <c r="K261" s="189"/>
      <c r="L261" s="221">
        <f>L134+L135+L136+L137+L138+L139+L140+L141+L142+L143</f>
        <v>79000</v>
      </c>
      <c r="M261" s="222">
        <f>M134+M135+M136+M137+M138+M139+M140+M141+M142+M143</f>
        <v>352116.42</v>
      </c>
      <c r="N261" s="34">
        <f t="shared" si="56"/>
        <v>431116.42</v>
      </c>
      <c r="O261" s="223">
        <f>O134+O135+O136+O137+O138+O139+O140+O141+O142+O143</f>
        <v>61000</v>
      </c>
      <c r="P261" s="240">
        <f t="shared" si="57"/>
        <v>492116.42</v>
      </c>
      <c r="Q261" s="276"/>
      <c r="R261" s="276"/>
      <c r="S261" s="221">
        <f>S134+S135+S136+S137+S138+S139+S140+S141+S142+S143</f>
        <v>65765.16</v>
      </c>
      <c r="T261" s="222">
        <f>T134+T135+T136+T137+T138+T139+T140+T141+T142+T143</f>
        <v>305001.28000000003</v>
      </c>
      <c r="U261" s="34">
        <f t="shared" si="58"/>
        <v>370766.44000000006</v>
      </c>
      <c r="V261" s="223">
        <f>V134+V135+V136+V137+V138+V139+V140+V141+V142+V143</f>
        <v>52674.270000000004</v>
      </c>
      <c r="W261" s="240">
        <f t="shared" si="59"/>
        <v>423440.71000000008</v>
      </c>
    </row>
    <row r="262" spans="1:23" x14ac:dyDescent="0.25">
      <c r="A262" s="131">
        <v>7602</v>
      </c>
      <c r="B262" s="131" t="s">
        <v>387</v>
      </c>
      <c r="C262" s="120"/>
      <c r="D262" s="189"/>
      <c r="E262" s="217">
        <f>E144</f>
        <v>0</v>
      </c>
      <c r="F262" s="218">
        <f>F144</f>
        <v>0</v>
      </c>
      <c r="G262" s="195">
        <f t="shared" si="54"/>
        <v>0</v>
      </c>
      <c r="H262" s="219">
        <f>H144</f>
        <v>0</v>
      </c>
      <c r="I262" s="239">
        <f t="shared" si="55"/>
        <v>0</v>
      </c>
      <c r="J262" s="120"/>
      <c r="K262" s="189"/>
      <c r="L262" s="221">
        <f>L144</f>
        <v>0</v>
      </c>
      <c r="M262" s="222">
        <f>M144</f>
        <v>0</v>
      </c>
      <c r="N262" s="34">
        <f t="shared" si="56"/>
        <v>0</v>
      </c>
      <c r="O262" s="223">
        <f>O144</f>
        <v>0</v>
      </c>
      <c r="P262" s="240">
        <f t="shared" si="57"/>
        <v>0</v>
      </c>
      <c r="Q262" s="276"/>
      <c r="R262" s="276"/>
      <c r="S262" s="221">
        <f>S144</f>
        <v>0</v>
      </c>
      <c r="T262" s="222">
        <f>T144</f>
        <v>0</v>
      </c>
      <c r="U262" s="34">
        <f t="shared" si="58"/>
        <v>0</v>
      </c>
      <c r="V262" s="223">
        <f>V144</f>
        <v>0</v>
      </c>
      <c r="W262" s="240">
        <f t="shared" si="59"/>
        <v>0</v>
      </c>
    </row>
    <row r="263" spans="1:23" x14ac:dyDescent="0.25">
      <c r="A263" s="131">
        <v>7603</v>
      </c>
      <c r="B263" s="131" t="s">
        <v>388</v>
      </c>
      <c r="C263" s="120"/>
      <c r="D263" s="189"/>
      <c r="E263" s="217">
        <f>E145</f>
        <v>50</v>
      </c>
      <c r="F263" s="218">
        <f>F145</f>
        <v>0</v>
      </c>
      <c r="G263" s="195">
        <f t="shared" si="54"/>
        <v>50</v>
      </c>
      <c r="H263" s="219">
        <f>H145</f>
        <v>115.2</v>
      </c>
      <c r="I263" s="239">
        <f t="shared" si="55"/>
        <v>165.2</v>
      </c>
      <c r="J263" s="120"/>
      <c r="K263" s="189"/>
      <c r="L263" s="221">
        <f>L145</f>
        <v>2500</v>
      </c>
      <c r="M263" s="222">
        <f>M145</f>
        <v>0</v>
      </c>
      <c r="N263" s="34">
        <f t="shared" si="56"/>
        <v>2500</v>
      </c>
      <c r="O263" s="223">
        <f>O145</f>
        <v>0</v>
      </c>
      <c r="P263" s="240">
        <f t="shared" si="57"/>
        <v>2500</v>
      </c>
      <c r="Q263" s="276"/>
      <c r="R263" s="276"/>
      <c r="S263" s="221">
        <f>S145</f>
        <v>316</v>
      </c>
      <c r="T263" s="222">
        <f>T145</f>
        <v>0</v>
      </c>
      <c r="U263" s="34">
        <f t="shared" si="58"/>
        <v>316</v>
      </c>
      <c r="V263" s="223">
        <f>V145</f>
        <v>66.59</v>
      </c>
      <c r="W263" s="240">
        <f t="shared" si="59"/>
        <v>382.59000000000003</v>
      </c>
    </row>
    <row r="264" spans="1:23" x14ac:dyDescent="0.25">
      <c r="A264" s="131">
        <v>7604</v>
      </c>
      <c r="B264" s="131" t="s">
        <v>389</v>
      </c>
      <c r="C264" s="12"/>
      <c r="D264" s="189"/>
      <c r="E264" s="217">
        <f>SUM(E146:E156)</f>
        <v>184565.46000000002</v>
      </c>
      <c r="F264" s="218">
        <f>SUM(F146:F156)</f>
        <v>0</v>
      </c>
      <c r="G264" s="195">
        <f t="shared" si="54"/>
        <v>184565.46000000002</v>
      </c>
      <c r="H264" s="219">
        <f>SUM(H146:H156)</f>
        <v>0</v>
      </c>
      <c r="I264" s="239">
        <f t="shared" si="55"/>
        <v>184565.46000000002</v>
      </c>
      <c r="J264" s="12"/>
      <c r="K264" s="189"/>
      <c r="L264" s="221">
        <f>SUM(L146:L156)</f>
        <v>187206.51</v>
      </c>
      <c r="M264" s="222">
        <f>SUM(M146:M156)</f>
        <v>0</v>
      </c>
      <c r="N264" s="34">
        <f t="shared" si="56"/>
        <v>187206.51</v>
      </c>
      <c r="O264" s="223">
        <f>SUM(O146:O156)</f>
        <v>0</v>
      </c>
      <c r="P264" s="240">
        <f t="shared" si="57"/>
        <v>187206.51</v>
      </c>
      <c r="Q264" s="276"/>
      <c r="R264" s="276"/>
      <c r="S264" s="221">
        <f>SUM(S146:S156)</f>
        <v>181641.38</v>
      </c>
      <c r="T264" s="222">
        <f>SUM(T146:T156)</f>
        <v>0</v>
      </c>
      <c r="U264" s="34">
        <f t="shared" si="58"/>
        <v>181641.38</v>
      </c>
      <c r="V264" s="223">
        <f>SUM(V146:V156)</f>
        <v>0</v>
      </c>
      <c r="W264" s="240">
        <f t="shared" si="59"/>
        <v>181641.38</v>
      </c>
    </row>
    <row r="265" spans="1:23" x14ac:dyDescent="0.25">
      <c r="A265" s="131">
        <v>7605</v>
      </c>
      <c r="B265" s="131" t="s">
        <v>390</v>
      </c>
      <c r="C265" s="120"/>
      <c r="D265" s="189"/>
      <c r="E265" s="217">
        <f>E157+E158</f>
        <v>0</v>
      </c>
      <c r="F265" s="218">
        <f>F157+F158</f>
        <v>213786.53</v>
      </c>
      <c r="G265" s="195">
        <f t="shared" si="54"/>
        <v>213786.53</v>
      </c>
      <c r="H265" s="219">
        <f>H157+H158</f>
        <v>0</v>
      </c>
      <c r="I265" s="239">
        <f t="shared" si="55"/>
        <v>213786.53</v>
      </c>
      <c r="J265" s="120"/>
      <c r="K265" s="189"/>
      <c r="L265" s="221">
        <f>L157+L158</f>
        <v>0</v>
      </c>
      <c r="M265" s="222">
        <f>M157+M158</f>
        <v>219569.19</v>
      </c>
      <c r="N265" s="34">
        <f t="shared" si="56"/>
        <v>219569.19</v>
      </c>
      <c r="O265" s="223">
        <f>O157+O158</f>
        <v>0</v>
      </c>
      <c r="P265" s="240">
        <f t="shared" si="57"/>
        <v>219569.19</v>
      </c>
      <c r="Q265" s="276"/>
      <c r="R265" s="276"/>
      <c r="S265" s="221">
        <f>S157+S158</f>
        <v>0</v>
      </c>
      <c r="T265" s="222">
        <f>T157+T158</f>
        <v>220727.9</v>
      </c>
      <c r="U265" s="34">
        <f t="shared" si="58"/>
        <v>220727.9</v>
      </c>
      <c r="V265" s="223">
        <f>V157+V158</f>
        <v>0</v>
      </c>
      <c r="W265" s="240">
        <f t="shared" si="59"/>
        <v>220727.9</v>
      </c>
    </row>
    <row r="266" spans="1:23" x14ac:dyDescent="0.25">
      <c r="A266" s="131">
        <v>7608</v>
      </c>
      <c r="B266" s="131" t="s">
        <v>391</v>
      </c>
      <c r="C266" s="120"/>
      <c r="D266" s="189"/>
      <c r="E266" s="217">
        <f>E160</f>
        <v>6064.89</v>
      </c>
      <c r="F266" s="218">
        <f>F160</f>
        <v>393.16</v>
      </c>
      <c r="G266" s="195">
        <f t="shared" si="54"/>
        <v>6458.05</v>
      </c>
      <c r="H266" s="219">
        <f>H160</f>
        <v>784.56</v>
      </c>
      <c r="I266" s="239">
        <f t="shared" si="55"/>
        <v>7242.6100000000006</v>
      </c>
      <c r="J266" s="120"/>
      <c r="K266" s="189"/>
      <c r="L266" s="221">
        <f>L160</f>
        <v>1300</v>
      </c>
      <c r="M266" s="222">
        <f>M160</f>
        <v>0</v>
      </c>
      <c r="N266" s="34">
        <f t="shared" si="56"/>
        <v>1300</v>
      </c>
      <c r="O266" s="223">
        <f>O160</f>
        <v>0</v>
      </c>
      <c r="P266" s="240">
        <f t="shared" si="57"/>
        <v>1300</v>
      </c>
      <c r="Q266" s="276"/>
      <c r="R266" s="276"/>
      <c r="S266" s="221">
        <f>S132+S160</f>
        <v>9266.2999999999993</v>
      </c>
      <c r="T266" s="222">
        <f>T160</f>
        <v>583.4</v>
      </c>
      <c r="U266" s="34">
        <f t="shared" si="58"/>
        <v>9849.6999999999989</v>
      </c>
      <c r="V266" s="223">
        <f>V160</f>
        <v>1433.44</v>
      </c>
      <c r="W266" s="240">
        <f t="shared" si="59"/>
        <v>11283.14</v>
      </c>
    </row>
    <row r="267" spans="1:23" x14ac:dyDescent="0.25">
      <c r="A267" s="131">
        <v>7609</v>
      </c>
      <c r="B267" s="131" t="s">
        <v>324</v>
      </c>
      <c r="C267" s="120"/>
      <c r="D267" s="189"/>
      <c r="E267" s="217">
        <f>E161+E162</f>
        <v>736.51</v>
      </c>
      <c r="F267" s="218">
        <f>F161+F162</f>
        <v>0</v>
      </c>
      <c r="G267" s="195">
        <f t="shared" si="54"/>
        <v>736.51</v>
      </c>
      <c r="H267" s="219">
        <f>H161+H162</f>
        <v>0</v>
      </c>
      <c r="I267" s="239">
        <f t="shared" si="55"/>
        <v>736.51</v>
      </c>
      <c r="J267" s="120"/>
      <c r="K267" s="189"/>
      <c r="L267" s="221">
        <f>L161+L162</f>
        <v>0</v>
      </c>
      <c r="M267" s="222">
        <f>M161+M162</f>
        <v>0</v>
      </c>
      <c r="N267" s="34">
        <f t="shared" si="56"/>
        <v>0</v>
      </c>
      <c r="O267" s="223">
        <f>O161+O162</f>
        <v>0</v>
      </c>
      <c r="P267" s="240">
        <f t="shared" si="57"/>
        <v>0</v>
      </c>
      <c r="Q267" s="276"/>
      <c r="R267" s="276"/>
      <c r="S267" s="221">
        <f>S161+S162</f>
        <v>7028.13</v>
      </c>
      <c r="T267" s="222">
        <f>T161+T162</f>
        <v>18</v>
      </c>
      <c r="U267" s="34">
        <f t="shared" si="58"/>
        <v>7046.13</v>
      </c>
      <c r="V267" s="223">
        <f>V161+V162</f>
        <v>0</v>
      </c>
      <c r="W267" s="240">
        <f t="shared" si="59"/>
        <v>7046.13</v>
      </c>
    </row>
    <row r="268" spans="1:23" x14ac:dyDescent="0.25">
      <c r="A268" s="252">
        <v>761</v>
      </c>
      <c r="B268" s="252" t="s">
        <v>327</v>
      </c>
      <c r="C268" s="89"/>
      <c r="D268" s="189"/>
      <c r="E268" s="259">
        <f>SUM(E269:E271)</f>
        <v>3654.5299999999997</v>
      </c>
      <c r="F268" s="260">
        <f>SUM(F269:F271)</f>
        <v>450</v>
      </c>
      <c r="G268" s="123">
        <f>SUM(G269:G271)</f>
        <v>4104.53</v>
      </c>
      <c r="H268" s="261">
        <f>SUM(H269:H271)</f>
        <v>0</v>
      </c>
      <c r="I268" s="265">
        <f>SUM(I269:I271)</f>
        <v>4104.53</v>
      </c>
      <c r="J268" s="89"/>
      <c r="K268" s="189"/>
      <c r="L268" s="262">
        <f>SUM(L269:L271)</f>
        <v>0</v>
      </c>
      <c r="M268" s="263">
        <f>SUM(M269:M271)</f>
        <v>0</v>
      </c>
      <c r="N268" s="127">
        <f>SUM(N269:N271)</f>
        <v>0</v>
      </c>
      <c r="O268" s="264">
        <f>SUM(O269:O271)</f>
        <v>0</v>
      </c>
      <c r="P268" s="266">
        <f>SUM(P269:P271)</f>
        <v>0</v>
      </c>
      <c r="Q268" s="276"/>
      <c r="R268" s="276"/>
      <c r="S268" s="262">
        <f>SUM(S269:S271)</f>
        <v>471.66</v>
      </c>
      <c r="T268" s="263">
        <f>SUM(T269:T271)</f>
        <v>228.71</v>
      </c>
      <c r="U268" s="127">
        <f>SUM(U269:U271)</f>
        <v>700.37</v>
      </c>
      <c r="V268" s="264">
        <f>SUM(V269:V271)</f>
        <v>0</v>
      </c>
      <c r="W268" s="266">
        <f>SUM(W269:W271)</f>
        <v>700.37</v>
      </c>
    </row>
    <row r="269" spans="1:23" x14ac:dyDescent="0.25">
      <c r="A269" s="131">
        <v>7610</v>
      </c>
      <c r="B269" s="131" t="s">
        <v>392</v>
      </c>
      <c r="C269" s="120"/>
      <c r="D269" s="189"/>
      <c r="E269" s="217">
        <f>E164+E165</f>
        <v>3010</v>
      </c>
      <c r="F269" s="218">
        <f>F164+F165</f>
        <v>0</v>
      </c>
      <c r="G269" s="195">
        <f>E269+F269</f>
        <v>3010</v>
      </c>
      <c r="H269" s="219">
        <f>H164+H165</f>
        <v>0</v>
      </c>
      <c r="I269" s="239">
        <f>G269+H269</f>
        <v>3010</v>
      </c>
      <c r="J269" s="120"/>
      <c r="K269" s="189"/>
      <c r="L269" s="221">
        <f>L164+L165</f>
        <v>0</v>
      </c>
      <c r="M269" s="222">
        <f>M164+M165</f>
        <v>0</v>
      </c>
      <c r="N269" s="34">
        <f>L269+M269</f>
        <v>0</v>
      </c>
      <c r="O269" s="223">
        <f>O164+O165</f>
        <v>0</v>
      </c>
      <c r="P269" s="240">
        <f>N269+O269</f>
        <v>0</v>
      </c>
      <c r="Q269" s="276"/>
      <c r="R269" s="276"/>
      <c r="S269" s="221">
        <f>S164+S165</f>
        <v>0</v>
      </c>
      <c r="T269" s="222">
        <f>T164+T165</f>
        <v>0</v>
      </c>
      <c r="U269" s="34">
        <f>S269+T269</f>
        <v>0</v>
      </c>
      <c r="V269" s="223">
        <f>V164+V165</f>
        <v>0</v>
      </c>
      <c r="W269" s="240">
        <f>U269+V269</f>
        <v>0</v>
      </c>
    </row>
    <row r="270" spans="1:23" x14ac:dyDescent="0.25">
      <c r="A270" s="131">
        <v>7611</v>
      </c>
      <c r="B270" s="131" t="s">
        <v>393</v>
      </c>
      <c r="C270" s="120"/>
      <c r="D270" s="189"/>
      <c r="E270" s="217">
        <f>E166</f>
        <v>0</v>
      </c>
      <c r="F270" s="218">
        <f>F166</f>
        <v>0</v>
      </c>
      <c r="G270" s="195">
        <f>E270+F270</f>
        <v>0</v>
      </c>
      <c r="H270" s="219">
        <f>H166</f>
        <v>0</v>
      </c>
      <c r="I270" s="239">
        <f>G270+H270</f>
        <v>0</v>
      </c>
      <c r="J270" s="120"/>
      <c r="K270" s="189"/>
      <c r="L270" s="221">
        <f>L166</f>
        <v>0</v>
      </c>
      <c r="M270" s="222">
        <f>M166</f>
        <v>0</v>
      </c>
      <c r="N270" s="34">
        <f>L270+M270</f>
        <v>0</v>
      </c>
      <c r="O270" s="223">
        <f>O166</f>
        <v>0</v>
      </c>
      <c r="P270" s="240">
        <f>N270+O270</f>
        <v>0</v>
      </c>
      <c r="Q270" s="276"/>
      <c r="R270" s="276"/>
      <c r="S270" s="221">
        <f>S166</f>
        <v>0</v>
      </c>
      <c r="T270" s="222">
        <f>T166</f>
        <v>0</v>
      </c>
      <c r="U270" s="34">
        <f>S270+T270</f>
        <v>0</v>
      </c>
      <c r="V270" s="223">
        <f>V166</f>
        <v>0</v>
      </c>
      <c r="W270" s="240">
        <f>U270+V270</f>
        <v>0</v>
      </c>
    </row>
    <row r="271" spans="1:23" x14ac:dyDescent="0.25">
      <c r="A271" s="131">
        <v>7619</v>
      </c>
      <c r="B271" s="131" t="s">
        <v>394</v>
      </c>
      <c r="C271" s="120"/>
      <c r="D271" s="189"/>
      <c r="E271" s="217">
        <f>E167</f>
        <v>644.53</v>
      </c>
      <c r="F271" s="218">
        <f>F167</f>
        <v>450</v>
      </c>
      <c r="G271" s="195">
        <f>E271+F271</f>
        <v>1094.53</v>
      </c>
      <c r="H271" s="219">
        <f>H167</f>
        <v>0</v>
      </c>
      <c r="I271" s="239">
        <f>G271+H271</f>
        <v>1094.53</v>
      </c>
      <c r="J271" s="120"/>
      <c r="K271" s="189"/>
      <c r="L271" s="221">
        <f>L167</f>
        <v>0</v>
      </c>
      <c r="M271" s="222">
        <f>M167</f>
        <v>0</v>
      </c>
      <c r="N271" s="34">
        <f>L271+M271</f>
        <v>0</v>
      </c>
      <c r="O271" s="223">
        <f>O167</f>
        <v>0</v>
      </c>
      <c r="P271" s="240">
        <f>N271+O271</f>
        <v>0</v>
      </c>
      <c r="Q271" s="276"/>
      <c r="R271" s="276"/>
      <c r="S271" s="221">
        <f>S167</f>
        <v>471.66</v>
      </c>
      <c r="T271" s="222">
        <f>T167</f>
        <v>228.71</v>
      </c>
      <c r="U271" s="34">
        <f>S271+T271</f>
        <v>700.37</v>
      </c>
      <c r="V271" s="223">
        <f>V167</f>
        <v>0</v>
      </c>
      <c r="W271" s="240">
        <f>U271+V271</f>
        <v>700.37</v>
      </c>
    </row>
    <row r="272" spans="1:23" x14ac:dyDescent="0.25">
      <c r="A272" s="252">
        <v>762</v>
      </c>
      <c r="B272" s="252" t="s">
        <v>335</v>
      </c>
      <c r="C272" s="120"/>
      <c r="D272" s="189"/>
      <c r="E272" s="259">
        <f>E273+E274</f>
        <v>941.21</v>
      </c>
      <c r="F272" s="260">
        <f>F273+F274</f>
        <v>0</v>
      </c>
      <c r="G272" s="123">
        <f>SUM(G273:G274)</f>
        <v>941.21</v>
      </c>
      <c r="H272" s="261">
        <f>H273+H274</f>
        <v>0</v>
      </c>
      <c r="I272" s="265">
        <f>I273+I274</f>
        <v>941.21</v>
      </c>
      <c r="J272" s="120"/>
      <c r="K272" s="189"/>
      <c r="L272" s="262">
        <f>L273+L274</f>
        <v>410</v>
      </c>
      <c r="M272" s="263">
        <f>M273+M274</f>
        <v>0</v>
      </c>
      <c r="N272" s="127">
        <f>SUM(N273:N274)</f>
        <v>410</v>
      </c>
      <c r="O272" s="264">
        <f>O273+O274</f>
        <v>0</v>
      </c>
      <c r="P272" s="266">
        <f>P273+P274</f>
        <v>410</v>
      </c>
      <c r="Q272" s="276"/>
      <c r="R272" s="276"/>
      <c r="S272" s="262">
        <f>S273+S274</f>
        <v>419.56</v>
      </c>
      <c r="T272" s="263">
        <f>T273+T274</f>
        <v>0</v>
      </c>
      <c r="U272" s="127">
        <f>SUM(U273:U274)</f>
        <v>419.56</v>
      </c>
      <c r="V272" s="264">
        <f>V273+V274</f>
        <v>0</v>
      </c>
      <c r="W272" s="266">
        <f>W273+W274</f>
        <v>419.56</v>
      </c>
    </row>
    <row r="273" spans="1:23" x14ac:dyDescent="0.25">
      <c r="A273" s="131">
        <v>7620</v>
      </c>
      <c r="B273" s="131" t="s">
        <v>395</v>
      </c>
      <c r="C273" s="155"/>
      <c r="D273" s="189"/>
      <c r="E273" s="217">
        <f>E169</f>
        <v>941.21</v>
      </c>
      <c r="F273" s="218">
        <f>F169</f>
        <v>0</v>
      </c>
      <c r="G273" s="195">
        <f>E273+F273</f>
        <v>941.21</v>
      </c>
      <c r="H273" s="219">
        <f>H169</f>
        <v>0</v>
      </c>
      <c r="I273" s="239">
        <f>G273+H273</f>
        <v>941.21</v>
      </c>
      <c r="J273" s="155"/>
      <c r="K273" s="189"/>
      <c r="L273" s="221">
        <f>L169</f>
        <v>410</v>
      </c>
      <c r="M273" s="222">
        <f>M169</f>
        <v>0</v>
      </c>
      <c r="N273" s="34">
        <f>L273+M273</f>
        <v>410</v>
      </c>
      <c r="O273" s="223">
        <f>O169</f>
        <v>0</v>
      </c>
      <c r="P273" s="240">
        <f>N273+O273</f>
        <v>410</v>
      </c>
      <c r="Q273" s="276"/>
      <c r="R273" s="276"/>
      <c r="S273" s="221">
        <f>S169</f>
        <v>419.56</v>
      </c>
      <c r="T273" s="222">
        <f>T169</f>
        <v>0</v>
      </c>
      <c r="U273" s="34">
        <f>S273+T273</f>
        <v>419.56</v>
      </c>
      <c r="V273" s="223">
        <f>V169</f>
        <v>0</v>
      </c>
      <c r="W273" s="240">
        <f>U273+V273</f>
        <v>419.56</v>
      </c>
    </row>
    <row r="274" spans="1:23" x14ac:dyDescent="0.25">
      <c r="A274" s="131">
        <v>7629</v>
      </c>
      <c r="B274" s="131" t="s">
        <v>396</v>
      </c>
      <c r="C274" s="120"/>
      <c r="D274" s="189"/>
      <c r="E274" s="217">
        <f>E170</f>
        <v>0</v>
      </c>
      <c r="F274" s="218">
        <f>F170</f>
        <v>0</v>
      </c>
      <c r="G274" s="195">
        <f>E274+F274</f>
        <v>0</v>
      </c>
      <c r="H274" s="219">
        <f>H170</f>
        <v>0</v>
      </c>
      <c r="I274" s="239">
        <f>G274+H274</f>
        <v>0</v>
      </c>
      <c r="J274" s="120"/>
      <c r="K274" s="189"/>
      <c r="L274" s="221">
        <f>L170</f>
        <v>0</v>
      </c>
      <c r="M274" s="222">
        <f>M170</f>
        <v>0</v>
      </c>
      <c r="N274" s="34">
        <f>L274+M274</f>
        <v>0</v>
      </c>
      <c r="O274" s="223">
        <f>O170</f>
        <v>0</v>
      </c>
      <c r="P274" s="240">
        <f>N274+O274</f>
        <v>0</v>
      </c>
      <c r="Q274" s="276"/>
      <c r="R274" s="276"/>
      <c r="S274" s="221">
        <f>S170</f>
        <v>0</v>
      </c>
      <c r="T274" s="222">
        <f>T170</f>
        <v>0</v>
      </c>
      <c r="U274" s="34">
        <f>S274+T274</f>
        <v>0</v>
      </c>
      <c r="V274" s="223">
        <f>V170</f>
        <v>0</v>
      </c>
      <c r="W274" s="240">
        <f>U274+V274</f>
        <v>0</v>
      </c>
    </row>
    <row r="275" spans="1:23" x14ac:dyDescent="0.25">
      <c r="A275" s="252">
        <v>763</v>
      </c>
      <c r="B275" s="252" t="s">
        <v>340</v>
      </c>
      <c r="C275" s="120"/>
      <c r="D275" s="189"/>
      <c r="E275" s="259">
        <f>SUM(E276:E278)</f>
        <v>0</v>
      </c>
      <c r="F275" s="260">
        <f>SUM(F276:F278)</f>
        <v>0</v>
      </c>
      <c r="G275" s="123">
        <f>SUM(G276:G278)</f>
        <v>0</v>
      </c>
      <c r="H275" s="261">
        <f>SUM(H276:H278)</f>
        <v>0</v>
      </c>
      <c r="I275" s="123">
        <f>SUM(I276:I278)</f>
        <v>0</v>
      </c>
      <c r="J275" s="120"/>
      <c r="K275" s="189"/>
      <c r="L275" s="262">
        <f>SUM(L276:L278)</f>
        <v>0</v>
      </c>
      <c r="M275" s="263">
        <f>SUM(M276:M278)</f>
        <v>0</v>
      </c>
      <c r="N275" s="127">
        <f>SUM(N276:N278)</f>
        <v>0</v>
      </c>
      <c r="O275" s="264">
        <f>SUM(O276:O278)</f>
        <v>0</v>
      </c>
      <c r="P275" s="127">
        <f>SUM(P276:P278)</f>
        <v>0</v>
      </c>
      <c r="Q275" s="276"/>
      <c r="R275" s="276"/>
      <c r="S275" s="262">
        <f>SUM(S276:S278)</f>
        <v>0.01</v>
      </c>
      <c r="T275" s="263">
        <f>SUM(T276:T278)</f>
        <v>0</v>
      </c>
      <c r="U275" s="127">
        <f>SUM(U276:U278)</f>
        <v>0.01</v>
      </c>
      <c r="V275" s="264">
        <f>SUM(V276:V278)</f>
        <v>0</v>
      </c>
      <c r="W275" s="127">
        <f>SUM(W276:W278)</f>
        <v>0.01</v>
      </c>
    </row>
    <row r="276" spans="1:23" x14ac:dyDescent="0.25">
      <c r="A276" s="131">
        <v>7631</v>
      </c>
      <c r="B276" s="131" t="s">
        <v>342</v>
      </c>
      <c r="C276" s="120"/>
      <c r="D276" s="189"/>
      <c r="E276" s="217">
        <f t="shared" ref="E276:F278" si="60">E172</f>
        <v>0</v>
      </c>
      <c r="F276" s="218">
        <f t="shared" si="60"/>
        <v>0</v>
      </c>
      <c r="G276" s="195">
        <f>E276+F276</f>
        <v>0</v>
      </c>
      <c r="H276" s="219">
        <f>H172</f>
        <v>0</v>
      </c>
      <c r="I276" s="195">
        <f>G276+H276</f>
        <v>0</v>
      </c>
      <c r="J276" s="120"/>
      <c r="K276" s="189"/>
      <c r="L276" s="221">
        <f t="shared" ref="L276:M278" si="61">L172</f>
        <v>0</v>
      </c>
      <c r="M276" s="222">
        <f t="shared" si="61"/>
        <v>0</v>
      </c>
      <c r="N276" s="34">
        <f>L276+M276</f>
        <v>0</v>
      </c>
      <c r="O276" s="223">
        <f>O172</f>
        <v>0</v>
      </c>
      <c r="P276" s="34">
        <f>N276+O276</f>
        <v>0</v>
      </c>
      <c r="Q276" s="276"/>
      <c r="R276" s="276"/>
      <c r="S276" s="221">
        <f t="shared" ref="S276:T278" si="62">S172</f>
        <v>0</v>
      </c>
      <c r="T276" s="222">
        <f t="shared" si="62"/>
        <v>0</v>
      </c>
      <c r="U276" s="34">
        <f>S276+T276</f>
        <v>0</v>
      </c>
      <c r="V276" s="223">
        <f>V172</f>
        <v>0</v>
      </c>
      <c r="W276" s="34">
        <f>U276+V276</f>
        <v>0</v>
      </c>
    </row>
    <row r="277" spans="1:23" x14ac:dyDescent="0.25">
      <c r="A277" s="131">
        <v>7633</v>
      </c>
      <c r="B277" s="131" t="s">
        <v>344</v>
      </c>
      <c r="C277" s="120"/>
      <c r="D277" s="189"/>
      <c r="E277" s="217">
        <f t="shared" si="60"/>
        <v>0</v>
      </c>
      <c r="F277" s="218">
        <f t="shared" si="60"/>
        <v>0</v>
      </c>
      <c r="G277" s="195">
        <f>E277+F277</f>
        <v>0</v>
      </c>
      <c r="H277" s="219">
        <f>H173</f>
        <v>0</v>
      </c>
      <c r="I277" s="195">
        <f>G277+H277</f>
        <v>0</v>
      </c>
      <c r="J277" s="120"/>
      <c r="K277" s="189"/>
      <c r="L277" s="221">
        <f t="shared" si="61"/>
        <v>0</v>
      </c>
      <c r="M277" s="222">
        <f t="shared" si="61"/>
        <v>0</v>
      </c>
      <c r="N277" s="34">
        <f>L277+M277</f>
        <v>0</v>
      </c>
      <c r="O277" s="223">
        <f>O173</f>
        <v>0</v>
      </c>
      <c r="P277" s="34">
        <f>N277+O277</f>
        <v>0</v>
      </c>
      <c r="Q277" s="276"/>
      <c r="R277" s="276"/>
      <c r="S277" s="221">
        <f t="shared" si="62"/>
        <v>0</v>
      </c>
      <c r="T277" s="222">
        <f t="shared" si="62"/>
        <v>0</v>
      </c>
      <c r="U277" s="34">
        <f>S277+T277</f>
        <v>0</v>
      </c>
      <c r="V277" s="223">
        <f>V173</f>
        <v>0</v>
      </c>
      <c r="W277" s="34">
        <f>U277+V277</f>
        <v>0</v>
      </c>
    </row>
    <row r="278" spans="1:23" x14ac:dyDescent="0.25">
      <c r="A278" s="131">
        <v>7639</v>
      </c>
      <c r="B278" s="131" t="s">
        <v>342</v>
      </c>
      <c r="C278" s="120"/>
      <c r="D278" s="189"/>
      <c r="E278" s="217">
        <f t="shared" si="60"/>
        <v>0</v>
      </c>
      <c r="F278" s="218">
        <f t="shared" si="60"/>
        <v>0</v>
      </c>
      <c r="G278" s="195">
        <f>E278+F278</f>
        <v>0</v>
      </c>
      <c r="H278" s="219">
        <f>H174</f>
        <v>0</v>
      </c>
      <c r="I278" s="195">
        <f>G278+H278</f>
        <v>0</v>
      </c>
      <c r="J278" s="120"/>
      <c r="K278" s="189"/>
      <c r="L278" s="221">
        <f t="shared" si="61"/>
        <v>0</v>
      </c>
      <c r="M278" s="222">
        <f t="shared" si="61"/>
        <v>0</v>
      </c>
      <c r="N278" s="34">
        <f>L278+M278</f>
        <v>0</v>
      </c>
      <c r="O278" s="223">
        <f>O174</f>
        <v>0</v>
      </c>
      <c r="P278" s="34">
        <f>N278+O278</f>
        <v>0</v>
      </c>
      <c r="Q278" s="276"/>
      <c r="R278" s="276"/>
      <c r="S278" s="221">
        <f t="shared" si="62"/>
        <v>0.01</v>
      </c>
      <c r="T278" s="222">
        <f t="shared" si="62"/>
        <v>0</v>
      </c>
      <c r="U278" s="34">
        <f>S278+T278</f>
        <v>0.01</v>
      </c>
      <c r="V278" s="223">
        <f>V174</f>
        <v>0</v>
      </c>
      <c r="W278" s="34">
        <f>U278+V278</f>
        <v>0.01</v>
      </c>
    </row>
    <row r="279" spans="1:23" x14ac:dyDescent="0.25">
      <c r="A279" s="131"/>
      <c r="B279" s="131" t="s">
        <v>397</v>
      </c>
      <c r="C279" s="120"/>
      <c r="D279" s="189"/>
      <c r="E279" s="195"/>
      <c r="F279" s="195"/>
      <c r="G279" s="195"/>
      <c r="H279" s="195"/>
      <c r="I279" s="195"/>
      <c r="J279" s="120"/>
      <c r="K279" s="189"/>
      <c r="L279" s="34"/>
      <c r="M279" s="34"/>
      <c r="N279" s="34"/>
      <c r="O279" s="34"/>
      <c r="P279" s="34"/>
      <c r="Q279" s="276"/>
      <c r="R279" s="276"/>
      <c r="S279" s="34"/>
      <c r="T279" s="34"/>
      <c r="U279" s="34"/>
      <c r="V279" s="34"/>
      <c r="W279" s="34"/>
    </row>
    <row r="280" spans="1:23" x14ac:dyDescent="0.25">
      <c r="A280" s="131"/>
      <c r="B280" s="131" t="s">
        <v>398</v>
      </c>
      <c r="C280" s="120"/>
      <c r="D280" s="189"/>
      <c r="E280" s="195">
        <f>E257-E215</f>
        <v>-9340.7700000002515</v>
      </c>
      <c r="F280" s="195">
        <f>F257-F215</f>
        <v>0</v>
      </c>
      <c r="G280" s="195">
        <f>G257-G215</f>
        <v>-9340.7700000009499</v>
      </c>
      <c r="H280" s="195">
        <f>H257-H215</f>
        <v>-1017.4900000000052</v>
      </c>
      <c r="I280" s="195">
        <f>I257-I215</f>
        <v>-10358.260000001173</v>
      </c>
      <c r="J280" s="120"/>
      <c r="K280" s="189"/>
      <c r="L280" s="34">
        <f>L257-L215</f>
        <v>-118.83499999972992</v>
      </c>
      <c r="M280" s="34">
        <f>M257-M215</f>
        <v>998.85378000000492</v>
      </c>
      <c r="N280" s="34">
        <f>N257-N215</f>
        <v>880.01878000004217</v>
      </c>
      <c r="O280" s="34">
        <f>O257-O215</f>
        <v>432.95999999999913</v>
      </c>
      <c r="P280" s="34">
        <f>P257-P215</f>
        <v>1312.9787800000049</v>
      </c>
      <c r="Q280" s="276"/>
      <c r="R280" s="276"/>
      <c r="S280" s="34">
        <f>S257-S215</f>
        <v>48973.700000000186</v>
      </c>
      <c r="T280" s="34">
        <f>T257-T215</f>
        <v>592.79000000003725</v>
      </c>
      <c r="U280" s="34">
        <f>U257-U215</f>
        <v>49566.489999999758</v>
      </c>
      <c r="V280" s="34">
        <f>V257-V215</f>
        <v>0</v>
      </c>
      <c r="W280" s="34">
        <f>W257-W215</f>
        <v>49566.489999999758</v>
      </c>
    </row>
    <row r="281" spans="1:23" x14ac:dyDescent="0.25">
      <c r="A281" s="131"/>
      <c r="B281" s="131" t="s">
        <v>399</v>
      </c>
      <c r="C281" s="120"/>
      <c r="D281" s="189"/>
      <c r="E281" s="195"/>
      <c r="F281" s="195"/>
      <c r="G281" s="195"/>
      <c r="H281" s="195"/>
      <c r="I281" s="195"/>
      <c r="J281" s="120"/>
      <c r="K281" s="189"/>
      <c r="L281" s="34"/>
      <c r="M281" s="34"/>
      <c r="N281" s="34"/>
      <c r="O281" s="34"/>
      <c r="P281" s="34"/>
      <c r="Q281" s="276"/>
      <c r="R281" s="276"/>
      <c r="S281" s="191">
        <v>-214.69</v>
      </c>
      <c r="T281" s="278"/>
      <c r="U281" s="34">
        <f>S281+T281</f>
        <v>-214.69</v>
      </c>
      <c r="V281" s="279"/>
      <c r="W281" s="277">
        <f>U281+V281</f>
        <v>-214.69</v>
      </c>
    </row>
    <row r="282" spans="1:23" x14ac:dyDescent="0.25">
      <c r="A282" s="131"/>
      <c r="B282" s="131" t="s">
        <v>348</v>
      </c>
      <c r="C282" s="120"/>
      <c r="D282" s="189"/>
      <c r="E282" s="195"/>
      <c r="F282" s="195"/>
      <c r="G282" s="195">
        <v>0</v>
      </c>
      <c r="H282" s="195"/>
      <c r="I282" s="195">
        <v>15871.49</v>
      </c>
      <c r="J282" s="120"/>
      <c r="K282" s="189"/>
      <c r="L282" s="34"/>
      <c r="M282" s="34"/>
      <c r="N282" s="34">
        <v>0</v>
      </c>
      <c r="O282" s="34"/>
      <c r="P282" s="34"/>
      <c r="Q282" s="276"/>
      <c r="R282" s="276"/>
      <c r="S282" s="34"/>
      <c r="T282" s="34"/>
      <c r="U282" s="34">
        <v>0</v>
      </c>
      <c r="V282" s="34"/>
      <c r="W282" s="34"/>
    </row>
    <row r="283" spans="1:23" x14ac:dyDescent="0.25">
      <c r="A283" s="267"/>
      <c r="B283" s="131" t="s">
        <v>400</v>
      </c>
      <c r="C283" s="137"/>
      <c r="D283" s="189"/>
      <c r="E283" s="195">
        <f>SUM(E279:E282)</f>
        <v>-9340.7700000002515</v>
      </c>
      <c r="F283" s="195">
        <f>SUM(F279:F282)</f>
        <v>0</v>
      </c>
      <c r="G283" s="195">
        <f>SUM(G279:G282)</f>
        <v>-9340.7700000009499</v>
      </c>
      <c r="H283" s="195">
        <f>SUM(H279:H282)</f>
        <v>-1017.4900000000052</v>
      </c>
      <c r="I283" s="195">
        <f>SUM(I279:I282)</f>
        <v>5513.2299999988263</v>
      </c>
      <c r="J283" s="137"/>
      <c r="K283" s="189"/>
      <c r="L283" s="34">
        <f>SUM(L279:L282)</f>
        <v>-118.83499999972992</v>
      </c>
      <c r="M283" s="34">
        <f>SUM(M279:M282)</f>
        <v>998.85378000000492</v>
      </c>
      <c r="N283" s="34">
        <f>SUM(N279:N282)</f>
        <v>880.01878000004217</v>
      </c>
      <c r="O283" s="34">
        <f>SUM(O279:O282)</f>
        <v>432.95999999999913</v>
      </c>
      <c r="P283" s="34">
        <f>SUM(P279:P282)</f>
        <v>1312.9787800000049</v>
      </c>
      <c r="Q283" s="276"/>
      <c r="R283" s="276"/>
      <c r="S283" s="34">
        <f>SUM(S279:S282)</f>
        <v>48759.010000000184</v>
      </c>
      <c r="T283" s="34">
        <f>SUM(T279:T282)</f>
        <v>592.79000000003725</v>
      </c>
      <c r="U283" s="34">
        <f>SUM(U279:U282)</f>
        <v>49351.799999999756</v>
      </c>
      <c r="V283" s="34">
        <f>SUM(V279:V282)</f>
        <v>0</v>
      </c>
      <c r="W283" s="34">
        <f>SUM(W279:W282)</f>
        <v>49351.799999999756</v>
      </c>
    </row>
    <row r="284" spans="1:23" x14ac:dyDescent="0.25">
      <c r="A284" s="268"/>
      <c r="B284" s="268"/>
    </row>
    <row r="285" spans="1:23" x14ac:dyDescent="0.25">
      <c r="A285" s="268"/>
      <c r="B285" s="268"/>
    </row>
    <row r="286" spans="1:23" x14ac:dyDescent="0.25">
      <c r="A286" s="268"/>
      <c r="B286" s="268"/>
    </row>
    <row r="287" spans="1:23" x14ac:dyDescent="0.25">
      <c r="A287" s="169" t="s">
        <v>403</v>
      </c>
      <c r="B287" s="201"/>
      <c r="H287" s="202" t="s">
        <v>349</v>
      </c>
    </row>
    <row r="288" spans="1:23" x14ac:dyDescent="0.25">
      <c r="A288" s="169" t="s">
        <v>350</v>
      </c>
      <c r="B288" s="201"/>
      <c r="H288" s="202" t="s">
        <v>351</v>
      </c>
    </row>
    <row r="289" spans="1:2" x14ac:dyDescent="0.25">
      <c r="A289" s="268"/>
      <c r="B289" s="268"/>
    </row>
    <row r="290" spans="1:2" x14ac:dyDescent="0.25">
      <c r="A290" s="269"/>
      <c r="B290" s="269"/>
    </row>
    <row r="291" spans="1:2" x14ac:dyDescent="0.25">
      <c r="A291" s="269"/>
      <c r="B291" s="269"/>
    </row>
    <row r="292" spans="1:2" x14ac:dyDescent="0.25">
      <c r="A292" s="269"/>
      <c r="B292" s="269"/>
    </row>
    <row r="293" spans="1:2" x14ac:dyDescent="0.25">
      <c r="A293" s="268"/>
      <c r="B293" s="268"/>
    </row>
    <row r="294" spans="1:2" x14ac:dyDescent="0.25">
      <c r="A294" s="268"/>
      <c r="B294" s="268"/>
    </row>
    <row r="295" spans="1:2" x14ac:dyDescent="0.25">
      <c r="A295" s="268"/>
      <c r="B295" s="268"/>
    </row>
    <row r="296" spans="1:2" x14ac:dyDescent="0.25">
      <c r="A296" s="268"/>
      <c r="B296" s="268"/>
    </row>
    <row r="297" spans="1:2" x14ac:dyDescent="0.25">
      <c r="A297" s="268"/>
      <c r="B297" s="268"/>
    </row>
    <row r="298" spans="1:2" x14ac:dyDescent="0.25">
      <c r="A298" s="270"/>
      <c r="B298" s="271"/>
    </row>
    <row r="299" spans="1:2" x14ac:dyDescent="0.25">
      <c r="A299" s="271"/>
      <c r="B299" s="272"/>
    </row>
    <row r="300" spans="1:2" x14ac:dyDescent="0.25">
      <c r="A300" s="271"/>
      <c r="B300" s="271"/>
    </row>
    <row r="301" spans="1:2" x14ac:dyDescent="0.25">
      <c r="A301" s="201"/>
      <c r="B301" s="201"/>
    </row>
    <row r="302" spans="1:2" x14ac:dyDescent="0.25">
      <c r="A302" s="204"/>
      <c r="B302" s="201"/>
    </row>
    <row r="303" spans="1:2" x14ac:dyDescent="0.25">
      <c r="A303" s="204"/>
      <c r="B303" s="201"/>
    </row>
    <row r="304" spans="1:2" x14ac:dyDescent="0.25">
      <c r="A304" s="204"/>
      <c r="B304" s="201"/>
    </row>
    <row r="305" spans="1:2" x14ac:dyDescent="0.25">
      <c r="A305" s="204"/>
      <c r="B305" s="201"/>
    </row>
    <row r="306" spans="1:2" x14ac:dyDescent="0.25">
      <c r="A306" s="204"/>
      <c r="B306" s="201"/>
    </row>
    <row r="307" spans="1:2" x14ac:dyDescent="0.25">
      <c r="A307" s="204"/>
      <c r="B307" s="201"/>
    </row>
    <row r="308" spans="1:2" x14ac:dyDescent="0.25">
      <c r="A308" s="201"/>
      <c r="B308" s="201"/>
    </row>
    <row r="309" spans="1:2" x14ac:dyDescent="0.25">
      <c r="A309" s="201"/>
      <c r="B309" s="201"/>
    </row>
    <row r="310" spans="1:2" x14ac:dyDescent="0.25">
      <c r="A310" s="201"/>
      <c r="B310" s="201"/>
    </row>
    <row r="311" spans="1:2" x14ac:dyDescent="0.25">
      <c r="A311" s="201"/>
      <c r="B311" s="201"/>
    </row>
    <row r="312" spans="1:2" x14ac:dyDescent="0.25">
      <c r="A312" s="204"/>
      <c r="B312" s="201"/>
    </row>
    <row r="313" spans="1:2" x14ac:dyDescent="0.25">
      <c r="A313" s="204"/>
      <c r="B313" s="201"/>
    </row>
    <row r="314" spans="1:2" x14ac:dyDescent="0.25">
      <c r="A314" s="204"/>
      <c r="B314" s="273"/>
    </row>
    <row r="315" spans="1:2" x14ac:dyDescent="0.25">
      <c r="A315" s="201"/>
      <c r="B315" s="273"/>
    </row>
    <row r="322" spans="1:1" x14ac:dyDescent="0.25">
      <c r="A322" s="273"/>
    </row>
    <row r="323" spans="1:1" x14ac:dyDescent="0.25">
      <c r="A323" s="273"/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FN-real2014</vt:lpstr>
      <vt:lpstr>'FN-real2014'!Tiskanje_naslovov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Helena</cp:lastModifiedBy>
  <cp:lastPrinted>2015-02-26T09:41:31Z</cp:lastPrinted>
  <dcterms:created xsi:type="dcterms:W3CDTF">2015-02-24T11:43:22Z</dcterms:created>
  <dcterms:modified xsi:type="dcterms:W3CDTF">2015-06-23T14:44:24Z</dcterms:modified>
</cp:coreProperties>
</file>