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A90AFB0-7B57-49BD-9287-43135E185A41}" xr6:coauthVersionLast="45" xr6:coauthVersionMax="45" xr10:uidLastSave="{00000000-0000-0000-0000-000000000000}"/>
  <bookViews>
    <workbookView xWindow="-120" yWindow="-120" windowWidth="24240" windowHeight="13140" xr2:uid="{00163EA0-4371-43AC-A7C7-E5454D4DA07D}"/>
  </bookViews>
  <sheets>
    <sheet name="MGRT digitalizaci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1" i="1" l="1"/>
  <c r="AG6" i="1"/>
  <c r="AG7" i="1"/>
  <c r="AG8" i="1"/>
  <c r="AG9" i="1"/>
  <c r="AG10" i="1"/>
  <c r="AG5" i="1"/>
  <c r="AF11" i="1"/>
  <c r="AE6" i="1"/>
  <c r="AE7" i="1"/>
  <c r="AE8" i="1"/>
  <c r="AE9" i="1"/>
  <c r="AE10" i="1"/>
  <c r="AE5" i="1"/>
  <c r="AD6" i="1"/>
  <c r="AD7" i="1"/>
  <c r="AD8" i="1"/>
  <c r="AD9" i="1"/>
  <c r="AD10" i="1"/>
  <c r="AD5" i="1"/>
  <c r="AF6" i="1"/>
  <c r="AF7" i="1"/>
  <c r="AF8" i="1"/>
  <c r="AF10" i="1"/>
  <c r="AE11" i="1"/>
  <c r="AC6" i="1"/>
  <c r="AC7" i="1"/>
  <c r="AC8" i="1"/>
  <c r="AC9" i="1"/>
  <c r="AC10" i="1"/>
  <c r="AC5" i="1"/>
  <c r="AC11" i="1"/>
  <c r="AB11" i="1"/>
  <c r="AA11" i="1"/>
  <c r="AB7" i="1" s="1"/>
  <c r="AB6" i="1"/>
  <c r="AB9" i="1"/>
  <c r="AB10" i="1"/>
  <c r="AA6" i="1"/>
  <c r="AA7" i="1"/>
  <c r="AA8" i="1"/>
  <c r="AA9" i="1"/>
  <c r="AA10" i="1"/>
  <c r="AA5" i="1"/>
  <c r="H6" i="1"/>
  <c r="H7" i="1"/>
  <c r="H8" i="1"/>
  <c r="H9" i="1"/>
  <c r="H10" i="1"/>
  <c r="H5" i="1"/>
  <c r="F11" i="1"/>
  <c r="F6" i="1"/>
  <c r="F7" i="1"/>
  <c r="F8" i="1"/>
  <c r="F9" i="1"/>
  <c r="F10" i="1"/>
  <c r="F5" i="1"/>
  <c r="G6" i="1"/>
  <c r="G7" i="1"/>
  <c r="G8" i="1"/>
  <c r="G9" i="1"/>
  <c r="G10" i="1"/>
  <c r="G5" i="1"/>
  <c r="E5" i="1"/>
  <c r="AF9" i="1" l="1"/>
  <c r="AF5" i="1"/>
  <c r="AB8" i="1"/>
  <c r="AB5" i="1"/>
  <c r="O11" i="1"/>
  <c r="J11" i="1"/>
  <c r="D11" i="1"/>
  <c r="C10" i="1"/>
  <c r="B10" i="1"/>
  <c r="E10" i="1" s="1"/>
  <c r="E9" i="1"/>
  <c r="C9" i="1"/>
  <c r="C8" i="1"/>
  <c r="B8" i="1"/>
  <c r="E7" i="1"/>
  <c r="C7" i="1"/>
  <c r="E6" i="1"/>
  <c r="C6" i="1"/>
  <c r="C5" i="1"/>
  <c r="I7" i="1" l="1"/>
  <c r="K7" i="1" s="1"/>
  <c r="I5" i="1"/>
  <c r="I10" i="1"/>
  <c r="K10" i="1" s="1"/>
  <c r="I9" i="1"/>
  <c r="K9" i="1" s="1"/>
  <c r="B11" i="1"/>
  <c r="G11" i="1"/>
  <c r="I6" i="1"/>
  <c r="K6" i="1" s="1"/>
  <c r="E8" i="1"/>
  <c r="T5" i="1" l="1"/>
  <c r="T7" i="1"/>
  <c r="T8" i="1"/>
  <c r="T9" i="1"/>
  <c r="T10" i="1"/>
  <c r="T6" i="1"/>
  <c r="E11" i="1"/>
  <c r="K5" i="1"/>
  <c r="T11" i="1" l="1"/>
  <c r="H11" i="1"/>
  <c r="I8" i="1"/>
  <c r="K8" i="1" l="1"/>
  <c r="I11" i="1"/>
  <c r="K11" i="1" l="1"/>
  <c r="Y7" i="1" l="1"/>
  <c r="Z7" i="1" s="1"/>
  <c r="Y6" i="1"/>
  <c r="Z6" i="1" s="1"/>
  <c r="Y10" i="1"/>
  <c r="Z10" i="1" s="1"/>
  <c r="Y9" i="1"/>
  <c r="Z9" i="1" s="1"/>
  <c r="Y5" i="1"/>
  <c r="Q11" i="1"/>
  <c r="S11" i="1"/>
  <c r="S5" i="1" s="1"/>
  <c r="S6" i="1" s="1"/>
  <c r="S7" i="1" s="1"/>
  <c r="S8" i="1" s="1"/>
  <c r="S9" i="1" s="1"/>
  <c r="S10" i="1" s="1"/>
  <c r="V11" i="1"/>
  <c r="Y8" i="1"/>
  <c r="Z8" i="1" s="1"/>
  <c r="U11" i="1"/>
  <c r="N11" i="1" l="1"/>
  <c r="P11" i="1"/>
  <c r="P8" i="1" s="1"/>
  <c r="U10" i="1"/>
  <c r="V8" i="1"/>
  <c r="U6" i="1"/>
  <c r="U8" i="1"/>
  <c r="U9" i="1"/>
  <c r="U7" i="1"/>
  <c r="U5" i="1"/>
  <c r="W11" i="1"/>
  <c r="V7" i="1"/>
  <c r="V5" i="1"/>
  <c r="V9" i="1"/>
  <c r="V6" i="1"/>
  <c r="V10" i="1"/>
  <c r="Z5" i="1"/>
  <c r="Y11" i="1"/>
  <c r="N7" i="1"/>
  <c r="N6" i="1"/>
  <c r="N5" i="1"/>
  <c r="N10" i="1"/>
  <c r="N9" i="1"/>
  <c r="N8" i="1"/>
  <c r="P10" i="1"/>
  <c r="P9" i="1"/>
  <c r="P7" i="1"/>
  <c r="P5" i="1"/>
  <c r="P6" i="1" l="1"/>
  <c r="W9" i="1"/>
  <c r="W8" i="1"/>
  <c r="W7" i="1"/>
  <c r="W10" i="1"/>
  <c r="Q8" i="1"/>
  <c r="X11" i="1"/>
  <c r="X8" i="1" s="1"/>
  <c r="R8" i="1" s="1"/>
  <c r="W6" i="1"/>
  <c r="W5" i="1"/>
  <c r="Q6" i="1"/>
  <c r="Q10" i="1"/>
  <c r="Q5" i="1"/>
  <c r="Q9" i="1"/>
  <c r="Q7" i="1"/>
  <c r="X6" i="1" l="1"/>
  <c r="R6" i="1" s="1"/>
  <c r="X10" i="1"/>
  <c r="R10" i="1" s="1"/>
  <c r="X7" i="1"/>
  <c r="R7" i="1" s="1"/>
  <c r="X5" i="1"/>
  <c r="R5" i="1" s="1"/>
  <c r="X9" i="1"/>
  <c r="R9" i="1" s="1"/>
  <c r="R11" i="1" l="1"/>
</calcChain>
</file>

<file path=xl/sharedStrings.xml><?xml version="1.0" encoding="utf-8"?>
<sst xmlns="http://schemas.openxmlformats.org/spreadsheetml/2006/main" count="41" uniqueCount="39">
  <si>
    <t>VARIANTE KRITJA LASTNEGA VIRA</t>
  </si>
  <si>
    <t>Ocenjena vrednost digitalizirane enote - s strani Arctur d.o.o.</t>
  </si>
  <si>
    <t>Ocenjena vrednost
interpretacijske sobe + stroški 5ZD  - Arctur d.o.o.</t>
  </si>
  <si>
    <t>Izobraževanje - 5% upravičenih stroškov operacije</t>
  </si>
  <si>
    <t>ddv digi.enote</t>
  </si>
  <si>
    <t>DDV</t>
  </si>
  <si>
    <t>Skupaj stroški aktivnosti (digitalizacija, inter.soba,  izobraževanj, ddv)</t>
  </si>
  <si>
    <t>Ocenjeni stroški vodenja</t>
  </si>
  <si>
    <t>skupaj VSI STROŠKI z ddv</t>
  </si>
  <si>
    <t>MGRT 90% sofinanciranje</t>
  </si>
  <si>
    <t>taksa</t>
  </si>
  <si>
    <t>znesek
taksa</t>
  </si>
  <si>
    <t>št.preb.</t>
  </si>
  <si>
    <t>znesek
št.preb.</t>
  </si>
  <si>
    <t xml:space="preserve"> varianta 1</t>
  </si>
  <si>
    <t xml:space="preserve"> varianta 2</t>
  </si>
  <si>
    <t>delež digitalizirane enote</t>
  </si>
  <si>
    <t xml:space="preserve"> varianta 3</t>
  </si>
  <si>
    <t>delež digitalizirane enote z DDV</t>
  </si>
  <si>
    <t>Občina Brežice</t>
  </si>
  <si>
    <t>Občina Krško</t>
  </si>
  <si>
    <t>Občina Sevnica</t>
  </si>
  <si>
    <t>Občina Radeče</t>
  </si>
  <si>
    <t>Občina Kostanjevica na Krki</t>
  </si>
  <si>
    <t>Občina Bistrica ob Sotli</t>
  </si>
  <si>
    <t>Skupaj:</t>
  </si>
  <si>
    <t>varianta 1; lastni vir  se na občine deli po izračunu 30 % taksa brez Term Čatež in 70 % po številu prebivalcev</t>
  </si>
  <si>
    <t>varianta 3; lastni vir se deli v odsotku od vrednosti digitalizirane enote</t>
  </si>
  <si>
    <t xml:space="preserve">Finančna konstrukcija  - glede na Predlog po sestanku z LTOji in Gradovi Posavja 17.2.2020 - na podlagi prejetih predlogov/komentarjev in ocenjenih vrednosti za digitalizacijo s strani Arctur  d.o.o.
</t>
  </si>
  <si>
    <t>varianta 4</t>
  </si>
  <si>
    <t>varianta 4; lastni vir se na občine deli po ključu odstotka skupni stroškov z DDV</t>
  </si>
  <si>
    <t>varianta 2; lastni vir se na občine deli: po ključu odstotka vrednosti digitalizirane enote z DDV in po ključu 30:70 za skupne stroške (interpretacijska soba in izobraževanje z DDV ter stroški vodenja). 
Delitev 30:70 pomeni, da se upošteva 30 % turistične takse brez Term Čatež in 70 % število prebivalcev.</t>
  </si>
  <si>
    <t>varianta 3; lastni vir se enakovredno razdeli med vse občine</t>
  </si>
  <si>
    <t>ddv izob.</t>
  </si>
  <si>
    <t>ddv soba</t>
  </si>
  <si>
    <t>varianta 5
SKUPAJ</t>
  </si>
  <si>
    <t>1 del varianta 5
% vložka</t>
  </si>
  <si>
    <t>2 del varianta 5
30:70</t>
  </si>
  <si>
    <t>varianta 5; 1 del ključa se deli na občine po ključu %vložka za digitalizirane enote+ddv, izobrazevanje+ddv in vodenje; in 2 del ključa se deli na občine po ključu 30% takse brez Term Čatež in 70% št.prebivalcev za del aktinvosti intrepretacijska soba +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</si>
</sst>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3F3F3F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59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3" xfId="0" applyFont="1" applyBorder="1"/>
    <xf numFmtId="0" fontId="3" fillId="6" borderId="4" xfId="0" applyFont="1" applyFill="1" applyBorder="1" applyAlignment="1">
      <alignment wrapText="1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0" fontId="0" fillId="0" borderId="3" xfId="0" applyBorder="1"/>
    <xf numFmtId="0" fontId="0" fillId="4" borderId="6" xfId="0" applyFill="1" applyBorder="1"/>
    <xf numFmtId="0" fontId="0" fillId="5" borderId="6" xfId="0" applyFill="1" applyBorder="1"/>
    <xf numFmtId="0" fontId="0" fillId="0" borderId="5" xfId="0" applyBorder="1"/>
    <xf numFmtId="0" fontId="0" fillId="6" borderId="6" xfId="0" applyFill="1" applyBorder="1"/>
    <xf numFmtId="0" fontId="0" fillId="7" borderId="2" xfId="0" applyFill="1" applyBorder="1"/>
    <xf numFmtId="164" fontId="0" fillId="0" borderId="2" xfId="0" applyNumberFormat="1" applyBorder="1"/>
    <xf numFmtId="10" fontId="0" fillId="0" borderId="2" xfId="1" applyNumberFormat="1" applyFont="1" applyBorder="1"/>
    <xf numFmtId="4" fontId="0" fillId="0" borderId="2" xfId="0" applyNumberFormat="1" applyBorder="1"/>
    <xf numFmtId="4" fontId="0" fillId="4" borderId="8" xfId="0" applyNumberFormat="1" applyFill="1" applyBorder="1"/>
    <xf numFmtId="4" fontId="0" fillId="5" borderId="8" xfId="0" applyNumberFormat="1" applyFill="1" applyBorder="1"/>
    <xf numFmtId="10" fontId="0" fillId="0" borderId="5" xfId="1" applyNumberFormat="1" applyFont="1" applyBorder="1"/>
    <xf numFmtId="4" fontId="0" fillId="6" borderId="8" xfId="0" applyNumberFormat="1" applyFill="1" applyBorder="1"/>
    <xf numFmtId="0" fontId="3" fillId="7" borderId="2" xfId="0" applyFont="1" applyFill="1" applyBorder="1"/>
    <xf numFmtId="164" fontId="3" fillId="0" borderId="2" xfId="0" applyNumberFormat="1" applyFont="1" applyBorder="1"/>
    <xf numFmtId="10" fontId="3" fillId="0" borderId="2" xfId="1" applyNumberFormat="1" applyFont="1" applyBorder="1"/>
    <xf numFmtId="4" fontId="3" fillId="0" borderId="2" xfId="0" applyNumberFormat="1" applyFont="1" applyBorder="1"/>
    <xf numFmtId="4" fontId="3" fillId="4" borderId="11" xfId="0" applyNumberFormat="1" applyFont="1" applyFill="1" applyBorder="1"/>
    <xf numFmtId="4" fontId="3" fillId="5" borderId="11" xfId="0" applyNumberFormat="1" applyFont="1" applyFill="1" applyBorder="1"/>
    <xf numFmtId="10" fontId="3" fillId="0" borderId="5" xfId="1" applyNumberFormat="1" applyFont="1" applyBorder="1"/>
    <xf numFmtId="4" fontId="3" fillId="0" borderId="3" xfId="0" applyNumberFormat="1" applyFont="1" applyBorder="1"/>
    <xf numFmtId="4" fontId="3" fillId="6" borderId="11" xfId="0" applyNumberFormat="1" applyFont="1" applyFill="1" applyBorder="1"/>
    <xf numFmtId="0" fontId="3" fillId="0" borderId="0" xfId="0" applyFont="1"/>
    <xf numFmtId="0" fontId="0" fillId="4" borderId="0" xfId="0" applyFill="1"/>
    <xf numFmtId="4" fontId="0" fillId="4" borderId="0" xfId="0" applyNumberFormat="1" applyFill="1"/>
    <xf numFmtId="4" fontId="0" fillId="0" borderId="0" xfId="0" applyNumberFormat="1"/>
    <xf numFmtId="0" fontId="0" fillId="5" borderId="0" xfId="0" applyFill="1"/>
    <xf numFmtId="10" fontId="0" fillId="0" borderId="0" xfId="1" applyNumberFormat="1" applyFont="1"/>
    <xf numFmtId="10" fontId="3" fillId="0" borderId="0" xfId="1" applyNumberFormat="1" applyFont="1"/>
    <xf numFmtId="0" fontId="0" fillId="0" borderId="0" xfId="0" applyAlignment="1">
      <alignment wrapText="1"/>
    </xf>
    <xf numFmtId="0" fontId="5" fillId="8" borderId="12" xfId="0" applyFont="1" applyFill="1" applyBorder="1"/>
    <xf numFmtId="0" fontId="4" fillId="8" borderId="4" xfId="0" applyFont="1" applyFill="1" applyBorder="1"/>
    <xf numFmtId="4" fontId="5" fillId="8" borderId="8" xfId="0" applyNumberFormat="1" applyFont="1" applyFill="1" applyBorder="1"/>
    <xf numFmtId="4" fontId="4" fillId="8" borderId="11" xfId="0" applyNumberFormat="1" applyFont="1" applyFill="1" applyBorder="1"/>
    <xf numFmtId="0" fontId="0" fillId="8" borderId="0" xfId="0" applyFill="1"/>
    <xf numFmtId="4" fontId="0" fillId="8" borderId="0" xfId="0" applyNumberFormat="1" applyFill="1"/>
    <xf numFmtId="0" fontId="0" fillId="9" borderId="2" xfId="0" applyFill="1" applyBorder="1" applyAlignment="1">
      <alignment wrapText="1"/>
    </xf>
    <xf numFmtId="0" fontId="0" fillId="9" borderId="2" xfId="0" applyFill="1" applyBorder="1"/>
    <xf numFmtId="4" fontId="0" fillId="9" borderId="2" xfId="0" applyNumberFormat="1" applyFill="1" applyBorder="1"/>
    <xf numFmtId="164" fontId="3" fillId="0" borderId="7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0" fillId="6" borderId="0" xfId="0" applyFill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3" borderId="13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0" fillId="10" borderId="0" xfId="0" applyFill="1"/>
  </cellXfs>
  <cellStyles count="3">
    <cellStyle name="Izhod" xfId="2" builtinId="21"/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356F-5D1B-484F-9455-EDC29983D86F}">
  <dimension ref="A1:AH22"/>
  <sheetViews>
    <sheetView tabSelected="1" topLeftCell="A7" zoomScale="90" zoomScaleNormal="90" workbookViewId="0">
      <selection activeCell="I40" sqref="I40"/>
    </sheetView>
  </sheetViews>
  <sheetFormatPr defaultRowHeight="15" x14ac:dyDescent="0.25"/>
  <cols>
    <col min="1" max="1" width="27.85546875" customWidth="1"/>
    <col min="2" max="2" width="14.5703125" customWidth="1"/>
    <col min="3" max="3" width="15" customWidth="1"/>
    <col min="4" max="4" width="12.28515625" customWidth="1"/>
    <col min="5" max="7" width="12.28515625" hidden="1" customWidth="1"/>
    <col min="8" max="8" width="12.28515625" customWidth="1"/>
    <col min="9" max="9" width="13.140625" bestFit="1" customWidth="1"/>
    <col min="10" max="10" width="13.5703125" customWidth="1"/>
    <col min="11" max="11" width="14.28515625" customWidth="1"/>
    <col min="12" max="12" width="13.5703125" customWidth="1"/>
    <col min="13" max="14" width="10.5703125" hidden="1" customWidth="1"/>
    <col min="15" max="16" width="9.140625" hidden="1" customWidth="1"/>
    <col min="17" max="17" width="13.140625" customWidth="1"/>
    <col min="18" max="18" width="12.5703125" customWidth="1"/>
    <col min="19" max="19" width="14.85546875" customWidth="1"/>
    <col min="20" max="20" width="14.85546875" hidden="1" customWidth="1"/>
    <col min="21" max="21" width="12" hidden="1" customWidth="1"/>
    <col min="22" max="22" width="10" hidden="1" customWidth="1"/>
    <col min="23" max="23" width="9.140625" hidden="1" customWidth="1"/>
    <col min="24" max="24" width="11.42578125" hidden="1" customWidth="1"/>
    <col min="25" max="25" width="12.85546875" hidden="1" customWidth="1"/>
    <col min="26" max="26" width="11.5703125" customWidth="1"/>
    <col min="27" max="27" width="10.5703125" hidden="1" customWidth="1"/>
    <col min="28" max="28" width="0" hidden="1" customWidth="1"/>
    <col min="29" max="29" width="11.42578125" customWidth="1"/>
    <col min="30" max="30" width="10.7109375" hidden="1" customWidth="1"/>
    <col min="31" max="31" width="10.5703125" hidden="1" customWidth="1"/>
    <col min="32" max="32" width="10.7109375" customWidth="1"/>
    <col min="33" max="33" width="12.5703125" customWidth="1"/>
  </cols>
  <sheetData>
    <row r="1" spans="1:33" ht="67.5" customHeight="1" x14ac:dyDescent="0.25">
      <c r="A1" s="55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33" ht="15.75" thickBot="1" x14ac:dyDescent="0.3">
      <c r="Q2" s="56" t="s">
        <v>0</v>
      </c>
      <c r="R2" s="57"/>
      <c r="S2" s="57"/>
      <c r="T2" s="57"/>
      <c r="U2" s="57"/>
      <c r="V2" s="57"/>
      <c r="W2" s="57"/>
      <c r="X2" s="57"/>
      <c r="Y2" s="57"/>
      <c r="Z2" s="57"/>
    </row>
    <row r="3" spans="1:33" ht="105.75" thickBot="1" x14ac:dyDescent="0.3">
      <c r="A3" s="1"/>
      <c r="B3" s="2" t="s">
        <v>1</v>
      </c>
      <c r="C3" s="2" t="s">
        <v>2</v>
      </c>
      <c r="D3" s="2" t="s">
        <v>3</v>
      </c>
      <c r="E3" s="3" t="s">
        <v>4</v>
      </c>
      <c r="F3" s="3" t="s">
        <v>34</v>
      </c>
      <c r="G3" s="3" t="s">
        <v>33</v>
      </c>
      <c r="H3" s="3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4" t="s">
        <v>13</v>
      </c>
      <c r="Q3" s="5" t="s">
        <v>14</v>
      </c>
      <c r="R3" s="9" t="s">
        <v>15</v>
      </c>
      <c r="S3" s="6" t="s">
        <v>17</v>
      </c>
      <c r="T3" s="7" t="s">
        <v>16</v>
      </c>
      <c r="U3" s="2" t="s">
        <v>17</v>
      </c>
      <c r="V3" s="2" t="s">
        <v>18</v>
      </c>
      <c r="W3" s="3"/>
      <c r="X3" s="8"/>
      <c r="Y3" s="41" t="s">
        <v>18</v>
      </c>
      <c r="Z3" s="43" t="s">
        <v>29</v>
      </c>
      <c r="AC3" s="10" t="s">
        <v>36</v>
      </c>
      <c r="AD3" s="1"/>
      <c r="AE3" s="1"/>
      <c r="AF3" s="10" t="s">
        <v>37</v>
      </c>
      <c r="AG3" s="48" t="s">
        <v>35</v>
      </c>
    </row>
    <row r="4" spans="1:33" x14ac:dyDescent="0.25">
      <c r="A4" s="1"/>
      <c r="B4" s="1"/>
      <c r="C4" s="10"/>
      <c r="D4" s="1"/>
      <c r="E4" s="1"/>
      <c r="F4" s="1"/>
      <c r="G4" s="11">
        <v>0.22</v>
      </c>
      <c r="H4" s="11"/>
      <c r="I4" s="1"/>
      <c r="J4" s="1"/>
      <c r="K4" s="1"/>
      <c r="L4" s="1"/>
      <c r="M4" s="1"/>
      <c r="N4" s="1"/>
      <c r="O4" s="1"/>
      <c r="P4" s="12"/>
      <c r="Q4" s="13"/>
      <c r="R4" s="16"/>
      <c r="S4" s="14">
        <v>6</v>
      </c>
      <c r="T4" s="15"/>
      <c r="U4" s="1"/>
      <c r="V4" s="1"/>
      <c r="W4" s="1"/>
      <c r="X4" s="12"/>
      <c r="Z4" s="42"/>
      <c r="AC4" s="1"/>
      <c r="AD4" s="1"/>
      <c r="AE4" s="1"/>
      <c r="AF4" s="1"/>
      <c r="AG4" s="49"/>
    </row>
    <row r="5" spans="1:33" x14ac:dyDescent="0.25">
      <c r="A5" s="17" t="s">
        <v>19</v>
      </c>
      <c r="B5" s="18">
        <v>27000</v>
      </c>
      <c r="C5" s="18">
        <f>85000/6</f>
        <v>14166.666666666666</v>
      </c>
      <c r="D5" s="18">
        <v>2391.25</v>
      </c>
      <c r="E5" s="18">
        <f>B5*$G$4</f>
        <v>5940</v>
      </c>
      <c r="F5" s="18">
        <f>C5*$G$4</f>
        <v>3116.6666666666665</v>
      </c>
      <c r="G5" s="18">
        <f>(D5)*$G$4</f>
        <v>526.07500000000005</v>
      </c>
      <c r="H5" s="18">
        <f>E5+G5+F5</f>
        <v>9582.7416666666668</v>
      </c>
      <c r="I5" s="18">
        <f>B5+C5+D5+H5</f>
        <v>53140.658333333333</v>
      </c>
      <c r="J5" s="18">
        <v>8100</v>
      </c>
      <c r="K5" s="18">
        <f>I5+J5</f>
        <v>61240.658333333333</v>
      </c>
      <c r="L5" s="51">
        <v>258255</v>
      </c>
      <c r="M5" s="19">
        <v>0.63549999999999995</v>
      </c>
      <c r="N5" s="20">
        <f>$N$11*M5</f>
        <v>20584.280317499986</v>
      </c>
      <c r="O5" s="19">
        <v>0.3196</v>
      </c>
      <c r="P5" s="12">
        <f>$P$11*O5</f>
        <v>24154.813493999987</v>
      </c>
      <c r="Q5" s="21">
        <f>N5+P5</f>
        <v>44739.093811499974</v>
      </c>
      <c r="R5" s="24">
        <f t="shared" ref="R5:R10" si="0">V5+W5+X5</f>
        <v>30455.059156052597</v>
      </c>
      <c r="S5" s="22">
        <f>S11/S4</f>
        <v>17994.824999999993</v>
      </c>
      <c r="T5" s="23">
        <f t="shared" ref="T5:T10" si="1">B5/$B$11</f>
        <v>0.16770186335403728</v>
      </c>
      <c r="U5" s="20">
        <f>T5*$U$11</f>
        <v>18106.594099378875</v>
      </c>
      <c r="V5" s="1">
        <f>$V$11*T5</f>
        <v>9711.2633212546571</v>
      </c>
      <c r="W5" s="1">
        <f t="shared" ref="W5:W10" si="2">$W$11*M5</f>
        <v>9544.1385136574263</v>
      </c>
      <c r="X5" s="12">
        <f t="shared" ref="X5:X10" si="3">$X$11*O5</f>
        <v>11199.657321140516</v>
      </c>
      <c r="Y5" s="39">
        <f t="shared" ref="Y5:Y10" si="4">K5/$K$11</f>
        <v>0.16722188249384931</v>
      </c>
      <c r="Z5" s="44">
        <f>Y5*$Z$11</f>
        <v>18054.771069884289</v>
      </c>
      <c r="AA5" s="37">
        <f>B5+E5+D5+G5+J5</f>
        <v>43957.324999999997</v>
      </c>
      <c r="AB5" s="39">
        <f>AA5/$AA$11</f>
        <v>0.16744119917439912</v>
      </c>
      <c r="AC5" s="20">
        <f>AB5*$AC$11</f>
        <v>13016.484332352526</v>
      </c>
      <c r="AD5" s="20">
        <f>M5*$AD$11</f>
        <v>5763.6036999999997</v>
      </c>
      <c r="AE5" s="20">
        <f>O5*$AE$11</f>
        <v>6763.3451575999989</v>
      </c>
      <c r="AF5" s="20">
        <f>AD5+AE5</f>
        <v>12526.948857599999</v>
      </c>
      <c r="AG5" s="50">
        <f>AC5+AF5</f>
        <v>25543.433189952524</v>
      </c>
    </row>
    <row r="6" spans="1:33" x14ac:dyDescent="0.25">
      <c r="A6" s="17" t="s">
        <v>20</v>
      </c>
      <c r="B6" s="18">
        <v>29000</v>
      </c>
      <c r="C6" s="18">
        <f t="shared" ref="C6:C10" si="5">85000/6</f>
        <v>14166.666666666666</v>
      </c>
      <c r="D6" s="18">
        <v>2391.25</v>
      </c>
      <c r="E6" s="18">
        <f t="shared" ref="E6:E10" si="6">B6*$G$4</f>
        <v>6380</v>
      </c>
      <c r="F6" s="18">
        <f t="shared" ref="F6:F10" si="7">C6*$G$4</f>
        <v>3116.6666666666665</v>
      </c>
      <c r="G6" s="18">
        <f t="shared" ref="G6:G10" si="8">(D6)*$G$4</f>
        <v>526.07500000000005</v>
      </c>
      <c r="H6" s="18">
        <f t="shared" ref="H6:H10" si="9">E6+G6+F6</f>
        <v>10022.741666666667</v>
      </c>
      <c r="I6" s="18">
        <f t="shared" ref="I6:I10" si="10">B6+C6+D6+H6</f>
        <v>55580.658333333333</v>
      </c>
      <c r="J6" s="18">
        <v>8100</v>
      </c>
      <c r="K6" s="18">
        <f t="shared" ref="K6:K10" si="11">I6+J6</f>
        <v>63680.658333333333</v>
      </c>
      <c r="L6" s="52"/>
      <c r="M6" s="19">
        <v>0.2666</v>
      </c>
      <c r="N6" s="20">
        <f t="shared" ref="N6:N10" si="12">$N$11*M6</f>
        <v>8635.3566209999954</v>
      </c>
      <c r="O6" s="19">
        <v>0.34279999999999999</v>
      </c>
      <c r="P6" s="12">
        <f t="shared" ref="P6:P10" si="13">$P$11*O6</f>
        <v>25908.229241999983</v>
      </c>
      <c r="Q6" s="21">
        <f t="shared" ref="Q6:Q10" si="14">N6+P6</f>
        <v>34543.585862999978</v>
      </c>
      <c r="R6" s="24">
        <f t="shared" si="0"/>
        <v>26447.147374445485</v>
      </c>
      <c r="S6" s="22">
        <f>S5</f>
        <v>17994.824999999993</v>
      </c>
      <c r="T6" s="23">
        <f t="shared" si="1"/>
        <v>0.18012422360248448</v>
      </c>
      <c r="U6" s="20">
        <f t="shared" ref="U6:U10" si="15">T6*$U$11</f>
        <v>19447.823291925459</v>
      </c>
      <c r="V6" s="1">
        <f t="shared" ref="V6:V10" si="16">$V$11*T6</f>
        <v>10430.616159866113</v>
      </c>
      <c r="W6" s="1">
        <f t="shared" si="2"/>
        <v>4003.8824984123839</v>
      </c>
      <c r="X6" s="12">
        <f t="shared" si="3"/>
        <v>12012.648716166987</v>
      </c>
      <c r="Y6" s="39">
        <f t="shared" si="4"/>
        <v>0.17388447242004063</v>
      </c>
      <c r="Z6" s="44">
        <f t="shared" ref="Z6:Z10" si="17">Y6*$Z$11</f>
        <v>18774.123908495745</v>
      </c>
      <c r="AA6" s="37">
        <f t="shared" ref="AA6:AA10" si="18">B6+E6+D6+G6+J6</f>
        <v>46397.324999999997</v>
      </c>
      <c r="AB6" s="39">
        <f t="shared" ref="AB6:AB10" si="19">AA6/$AA$11</f>
        <v>0.17673558926718874</v>
      </c>
      <c r="AC6" s="20">
        <f t="shared" ref="AC6:AC10" si="20">AB6*$AC$11</f>
        <v>13739.008320582932</v>
      </c>
      <c r="AD6" s="20">
        <f t="shared" ref="AD6:AD10" si="21">M6*$AD$11</f>
        <v>2417.9020399999999</v>
      </c>
      <c r="AE6" s="20">
        <f t="shared" ref="AE6:AE10" si="22">O6*$AE$11</f>
        <v>7254.3013767999983</v>
      </c>
      <c r="AF6" s="20">
        <f t="shared" ref="AF6:AF10" si="23">AD6+AE6</f>
        <v>9672.2034167999991</v>
      </c>
      <c r="AG6" s="50">
        <f t="shared" ref="AG6:AG10" si="24">AC6+AF6</f>
        <v>23411.211737382931</v>
      </c>
    </row>
    <row r="7" spans="1:33" x14ac:dyDescent="0.25">
      <c r="A7" s="17" t="s">
        <v>21</v>
      </c>
      <c r="B7" s="18">
        <v>22000</v>
      </c>
      <c r="C7" s="18">
        <f t="shared" si="5"/>
        <v>14166.666666666666</v>
      </c>
      <c r="D7" s="18">
        <v>2391.25</v>
      </c>
      <c r="E7" s="18">
        <f t="shared" si="6"/>
        <v>4840</v>
      </c>
      <c r="F7" s="18">
        <f t="shared" si="7"/>
        <v>3116.6666666666665</v>
      </c>
      <c r="G7" s="18">
        <f t="shared" si="8"/>
        <v>526.07500000000005</v>
      </c>
      <c r="H7" s="18">
        <f t="shared" si="9"/>
        <v>8482.7416666666668</v>
      </c>
      <c r="I7" s="18">
        <f t="shared" si="10"/>
        <v>47040.658333333333</v>
      </c>
      <c r="J7" s="18">
        <v>8100</v>
      </c>
      <c r="K7" s="18">
        <f t="shared" si="11"/>
        <v>55140.658333333333</v>
      </c>
      <c r="L7" s="52"/>
      <c r="M7" s="19">
        <v>6.0299999999999999E-2</v>
      </c>
      <c r="N7" s="20">
        <f t="shared" si="12"/>
        <v>1953.158305499999</v>
      </c>
      <c r="O7" s="19">
        <v>0.23150000000000001</v>
      </c>
      <c r="P7" s="12">
        <f t="shared" si="13"/>
        <v>17496.368347499989</v>
      </c>
      <c r="Q7" s="21">
        <f t="shared" si="14"/>
        <v>19449.526652999986</v>
      </c>
      <c r="R7" s="24">
        <f t="shared" si="0"/>
        <v>16930.878139754859</v>
      </c>
      <c r="S7" s="22">
        <f t="shared" ref="S7:S10" si="25">S6</f>
        <v>17994.824999999993</v>
      </c>
      <c r="T7" s="23">
        <f t="shared" si="1"/>
        <v>0.13664596273291926</v>
      </c>
      <c r="U7" s="20">
        <f t="shared" si="15"/>
        <v>14753.521118012417</v>
      </c>
      <c r="V7" s="1">
        <f t="shared" si="16"/>
        <v>7912.8812247260166</v>
      </c>
      <c r="W7" s="1">
        <f t="shared" si="2"/>
        <v>905.6043310362594</v>
      </c>
      <c r="X7" s="12">
        <f t="shared" si="3"/>
        <v>8112.3925839925832</v>
      </c>
      <c r="Y7" s="39">
        <f t="shared" si="4"/>
        <v>0.15056540767837095</v>
      </c>
      <c r="Z7" s="44">
        <f t="shared" si="17"/>
        <v>16256.38897335565</v>
      </c>
      <c r="AA7" s="37">
        <f t="shared" si="18"/>
        <v>37857.324999999997</v>
      </c>
      <c r="AB7" s="39">
        <f t="shared" si="19"/>
        <v>0.14420522394242505</v>
      </c>
      <c r="AC7" s="20">
        <f t="shared" si="20"/>
        <v>11210.174361776508</v>
      </c>
      <c r="AD7" s="20">
        <f t="shared" si="21"/>
        <v>546.88481999999999</v>
      </c>
      <c r="AE7" s="20">
        <f t="shared" si="22"/>
        <v>4898.9812389999988</v>
      </c>
      <c r="AF7" s="20">
        <f t="shared" si="23"/>
        <v>5445.866058999999</v>
      </c>
      <c r="AG7" s="50">
        <f t="shared" si="24"/>
        <v>16656.040420776506</v>
      </c>
    </row>
    <row r="8" spans="1:33" x14ac:dyDescent="0.25">
      <c r="A8" s="17" t="s">
        <v>22</v>
      </c>
      <c r="B8" s="18">
        <f>6000+17000</f>
        <v>23000</v>
      </c>
      <c r="C8" s="18">
        <f t="shared" si="5"/>
        <v>14166.666666666666</v>
      </c>
      <c r="D8" s="18">
        <v>2391.25</v>
      </c>
      <c r="E8" s="18">
        <f t="shared" si="6"/>
        <v>5060</v>
      </c>
      <c r="F8" s="18">
        <f t="shared" si="7"/>
        <v>3116.6666666666665</v>
      </c>
      <c r="G8" s="18">
        <f t="shared" si="8"/>
        <v>526.07500000000005</v>
      </c>
      <c r="H8" s="18">
        <f t="shared" si="9"/>
        <v>8702.7416666666668</v>
      </c>
      <c r="I8" s="18">
        <f t="shared" si="10"/>
        <v>48260.658333333333</v>
      </c>
      <c r="J8" s="18">
        <v>8100</v>
      </c>
      <c r="K8" s="18">
        <f t="shared" si="11"/>
        <v>56360.658333333333</v>
      </c>
      <c r="L8" s="52"/>
      <c r="M8" s="19">
        <v>5.3E-3</v>
      </c>
      <c r="N8" s="20">
        <f t="shared" si="12"/>
        <v>171.6706304999999</v>
      </c>
      <c r="O8" s="19">
        <v>5.5899999999999998E-2</v>
      </c>
      <c r="P8" s="12">
        <f t="shared" si="13"/>
        <v>4224.8250134999971</v>
      </c>
      <c r="Q8" s="21">
        <f t="shared" si="14"/>
        <v>4396.4956439999969</v>
      </c>
      <c r="R8" s="24">
        <f t="shared" si="0"/>
        <v>10311.043457176933</v>
      </c>
      <c r="S8" s="22">
        <f t="shared" si="25"/>
        <v>17994.824999999993</v>
      </c>
      <c r="T8" s="23">
        <f t="shared" si="1"/>
        <v>0.14285714285714285</v>
      </c>
      <c r="U8" s="20">
        <f t="shared" si="15"/>
        <v>15424.135714285707</v>
      </c>
      <c r="V8" s="1">
        <f t="shared" si="16"/>
        <v>8272.5576440317436</v>
      </c>
      <c r="W8" s="1">
        <f t="shared" si="2"/>
        <v>79.597063921926605</v>
      </c>
      <c r="X8" s="12">
        <f t="shared" si="3"/>
        <v>1958.8887492232629</v>
      </c>
      <c r="Y8" s="39">
        <f t="shared" si="4"/>
        <v>0.15389670264146663</v>
      </c>
      <c r="Z8" s="44">
        <f t="shared" si="17"/>
        <v>16616.065392661378</v>
      </c>
      <c r="AA8" s="37">
        <f t="shared" si="18"/>
        <v>39077.324999999997</v>
      </c>
      <c r="AB8" s="39">
        <f t="shared" si="19"/>
        <v>0.14885241898881985</v>
      </c>
      <c r="AC8" s="20">
        <f t="shared" si="20"/>
        <v>11571.43635589171</v>
      </c>
      <c r="AD8" s="20">
        <f t="shared" si="21"/>
        <v>48.067819999999998</v>
      </c>
      <c r="AE8" s="20">
        <f t="shared" si="22"/>
        <v>1182.9505453999998</v>
      </c>
      <c r="AF8" s="20">
        <f t="shared" si="23"/>
        <v>1231.0183653999998</v>
      </c>
      <c r="AG8" s="50">
        <f t="shared" si="24"/>
        <v>12802.45472129171</v>
      </c>
    </row>
    <row r="9" spans="1:33" x14ac:dyDescent="0.25">
      <c r="A9" s="17" t="s">
        <v>23</v>
      </c>
      <c r="B9" s="18">
        <v>34000</v>
      </c>
      <c r="C9" s="18">
        <f t="shared" si="5"/>
        <v>14166.666666666666</v>
      </c>
      <c r="D9" s="18">
        <v>2391.25</v>
      </c>
      <c r="E9" s="18">
        <f t="shared" si="6"/>
        <v>7480</v>
      </c>
      <c r="F9" s="18">
        <f t="shared" si="7"/>
        <v>3116.6666666666665</v>
      </c>
      <c r="G9" s="18">
        <f t="shared" si="8"/>
        <v>526.07500000000005</v>
      </c>
      <c r="H9" s="18">
        <f t="shared" si="9"/>
        <v>11122.741666666667</v>
      </c>
      <c r="I9" s="18">
        <f t="shared" si="10"/>
        <v>61680.658333333333</v>
      </c>
      <c r="J9" s="18">
        <v>8100</v>
      </c>
      <c r="K9" s="18">
        <f t="shared" si="11"/>
        <v>69780.658333333326</v>
      </c>
      <c r="L9" s="52"/>
      <c r="M9" s="19">
        <v>2.6499999999999999E-2</v>
      </c>
      <c r="N9" s="20">
        <f t="shared" si="12"/>
        <v>858.35315249999951</v>
      </c>
      <c r="O9" s="19">
        <v>3.2300000000000002E-2</v>
      </c>
      <c r="P9" s="12">
        <f t="shared" si="13"/>
        <v>2441.1779594999989</v>
      </c>
      <c r="Q9" s="21">
        <f t="shared" si="14"/>
        <v>3299.5311119999983</v>
      </c>
      <c r="R9" s="24">
        <f t="shared" si="0"/>
        <v>13758.86383718348</v>
      </c>
      <c r="S9" s="22">
        <f t="shared" si="25"/>
        <v>17994.824999999993</v>
      </c>
      <c r="T9" s="23">
        <f t="shared" si="1"/>
        <v>0.21118012422360249</v>
      </c>
      <c r="U9" s="20">
        <f t="shared" si="15"/>
        <v>22800.896273291917</v>
      </c>
      <c r="V9" s="1">
        <f t="shared" si="16"/>
        <v>12228.998256394752</v>
      </c>
      <c r="W9" s="1">
        <f t="shared" si="2"/>
        <v>397.98531960963305</v>
      </c>
      <c r="X9" s="12">
        <f t="shared" si="3"/>
        <v>1131.8802611790948</v>
      </c>
      <c r="Y9" s="39">
        <f t="shared" si="4"/>
        <v>0.19054094723551895</v>
      </c>
      <c r="Z9" s="44">
        <f t="shared" si="17"/>
        <v>20572.506005024385</v>
      </c>
      <c r="AA9" s="37">
        <f t="shared" si="18"/>
        <v>52497.324999999997</v>
      </c>
      <c r="AB9" s="39">
        <f t="shared" si="19"/>
        <v>0.19997156449916281</v>
      </c>
      <c r="AC9" s="20">
        <f t="shared" si="20"/>
        <v>15545.318291158948</v>
      </c>
      <c r="AD9" s="20">
        <f t="shared" si="21"/>
        <v>240.33909999999997</v>
      </c>
      <c r="AE9" s="20">
        <f t="shared" si="22"/>
        <v>683.52956379999989</v>
      </c>
      <c r="AF9" s="20">
        <f t="shared" si="23"/>
        <v>923.86866379999992</v>
      </c>
      <c r="AG9" s="50">
        <f t="shared" si="24"/>
        <v>16469.186954958946</v>
      </c>
    </row>
    <row r="10" spans="1:33" x14ac:dyDescent="0.25">
      <c r="A10" s="17" t="s">
        <v>24</v>
      </c>
      <c r="B10" s="18">
        <f>10000+16000</f>
        <v>26000</v>
      </c>
      <c r="C10" s="18">
        <f t="shared" si="5"/>
        <v>14166.666666666666</v>
      </c>
      <c r="D10" s="18">
        <v>2391.25</v>
      </c>
      <c r="E10" s="18">
        <f t="shared" si="6"/>
        <v>5720</v>
      </c>
      <c r="F10" s="18">
        <f t="shared" si="7"/>
        <v>3116.6666666666665</v>
      </c>
      <c r="G10" s="18">
        <f t="shared" si="8"/>
        <v>526.07500000000005</v>
      </c>
      <c r="H10" s="18">
        <f t="shared" si="9"/>
        <v>9362.7416666666668</v>
      </c>
      <c r="I10" s="18">
        <f t="shared" si="10"/>
        <v>51920.658333333333</v>
      </c>
      <c r="J10" s="18">
        <v>8100</v>
      </c>
      <c r="K10" s="18">
        <f t="shared" si="11"/>
        <v>60020.658333333333</v>
      </c>
      <c r="L10" s="52"/>
      <c r="M10" s="19">
        <v>5.7999999999999996E-3</v>
      </c>
      <c r="N10" s="20">
        <f t="shared" si="12"/>
        <v>187.86597299999988</v>
      </c>
      <c r="O10" s="19">
        <v>1.7899999999999999E-2</v>
      </c>
      <c r="P10" s="12">
        <f t="shared" si="13"/>
        <v>1352.8509434999992</v>
      </c>
      <c r="Q10" s="21">
        <f t="shared" si="14"/>
        <v>1540.7169164999991</v>
      </c>
      <c r="R10" s="24">
        <f t="shared" si="0"/>
        <v>10065.958035386599</v>
      </c>
      <c r="S10" s="22">
        <f t="shared" si="25"/>
        <v>17994.824999999993</v>
      </c>
      <c r="T10" s="23">
        <f t="shared" si="1"/>
        <v>0.16149068322981366</v>
      </c>
      <c r="U10" s="20">
        <f t="shared" si="15"/>
        <v>17435.979503105584</v>
      </c>
      <c r="V10" s="1">
        <f t="shared" si="16"/>
        <v>9351.5869019489292</v>
      </c>
      <c r="W10" s="1">
        <f t="shared" si="2"/>
        <v>87.106220895693269</v>
      </c>
      <c r="X10" s="12">
        <f t="shared" si="3"/>
        <v>627.26491254197504</v>
      </c>
      <c r="Y10" s="39">
        <f t="shared" si="4"/>
        <v>0.16389058753075364</v>
      </c>
      <c r="Z10" s="44">
        <f t="shared" si="17"/>
        <v>17695.094650578561</v>
      </c>
      <c r="AA10" s="37">
        <f t="shared" si="18"/>
        <v>42737.324999999997</v>
      </c>
      <c r="AB10" s="39">
        <f t="shared" si="19"/>
        <v>0.16279400412800429</v>
      </c>
      <c r="AC10" s="20">
        <f t="shared" si="20"/>
        <v>12655.222338237321</v>
      </c>
      <c r="AD10" s="20">
        <f t="shared" si="21"/>
        <v>52.602519999999991</v>
      </c>
      <c r="AE10" s="20">
        <f t="shared" si="22"/>
        <v>378.79811739999991</v>
      </c>
      <c r="AF10" s="20">
        <f t="shared" si="23"/>
        <v>431.40063739999988</v>
      </c>
      <c r="AG10" s="50">
        <f t="shared" si="24"/>
        <v>13086.622975637321</v>
      </c>
    </row>
    <row r="11" spans="1:33" s="34" customFormat="1" ht="15.75" thickBot="1" x14ac:dyDescent="0.3">
      <c r="A11" s="25" t="s">
        <v>25</v>
      </c>
      <c r="B11" s="26">
        <f>SUM(B5:B10)</f>
        <v>161000</v>
      </c>
      <c r="C11" s="26">
        <v>85000</v>
      </c>
      <c r="D11" s="26">
        <f>SUM(D5:D10)</f>
        <v>14347.5</v>
      </c>
      <c r="E11" s="26">
        <f>SUM(E5:E10)</f>
        <v>35420</v>
      </c>
      <c r="F11" s="26">
        <f>SUM(F5:F10)</f>
        <v>18700</v>
      </c>
      <c r="G11" s="26">
        <f t="shared" ref="G11:K11" si="26">SUM(G5:G10)</f>
        <v>3156.45</v>
      </c>
      <c r="H11" s="26">
        <f t="shared" si="26"/>
        <v>57276.450000000004</v>
      </c>
      <c r="I11" s="26">
        <f t="shared" si="26"/>
        <v>317623.95</v>
      </c>
      <c r="J11" s="26">
        <f t="shared" si="26"/>
        <v>48600</v>
      </c>
      <c r="K11" s="26">
        <f t="shared" si="26"/>
        <v>366223.94999999995</v>
      </c>
      <c r="L11" s="53"/>
      <c r="M11" s="27">
        <v>1</v>
      </c>
      <c r="N11" s="28">
        <f>$Q$11*30%</f>
        <v>32390.684999999983</v>
      </c>
      <c r="O11" s="27">
        <f>SUM(O5:O10)</f>
        <v>1</v>
      </c>
      <c r="P11" s="8">
        <f>Q11*70%</f>
        <v>75578.264999999956</v>
      </c>
      <c r="Q11" s="29">
        <f>K11-L5</f>
        <v>107968.94999999995</v>
      </c>
      <c r="R11" s="33">
        <f>SUM(R5:R10)</f>
        <v>107968.94999999995</v>
      </c>
      <c r="S11" s="30">
        <f>K11-L5</f>
        <v>107968.94999999995</v>
      </c>
      <c r="T11" s="31">
        <f>SUM(T5:T10)</f>
        <v>0.99999999999999989</v>
      </c>
      <c r="U11" s="28">
        <f>K11-L5</f>
        <v>107968.94999999995</v>
      </c>
      <c r="V11" s="28">
        <f>((B11+E11)/K11)*(K11-L5)</f>
        <v>57907.903508222211</v>
      </c>
      <c r="W11" s="28">
        <f>(K11-L5-V11)*30%</f>
        <v>15018.313947533323</v>
      </c>
      <c r="X11" s="32">
        <f>K11-L5-V11-W11</f>
        <v>35042.73254424442</v>
      </c>
      <c r="Y11" s="40">
        <f>SUM(Y5:Y10)</f>
        <v>1.0000000000000002</v>
      </c>
      <c r="Z11" s="45">
        <v>107968.95</v>
      </c>
      <c r="AA11" s="37">
        <f>SUM(AA5:AA10)</f>
        <v>262523.95</v>
      </c>
      <c r="AB11" s="39">
        <f>SUM(AB5:AB10)</f>
        <v>0.99999999999999978</v>
      </c>
      <c r="AC11" s="20">
        <f>Q11*72%</f>
        <v>77737.643999999957</v>
      </c>
      <c r="AD11" s="20">
        <v>9069.4</v>
      </c>
      <c r="AE11" s="20">
        <f>R11-AC11-AD11</f>
        <v>21161.905999999995</v>
      </c>
      <c r="AF11" s="20">
        <f>SUM(AF5:AF10)</f>
        <v>30231.305999999993</v>
      </c>
      <c r="AG11" s="50">
        <f>SUM(AG5:AG10)</f>
        <v>107968.94999999994</v>
      </c>
    </row>
    <row r="13" spans="1:33" x14ac:dyDescent="0.25">
      <c r="A13" s="35" t="s">
        <v>26</v>
      </c>
      <c r="B13" s="35"/>
      <c r="C13" s="35"/>
      <c r="D13" s="35"/>
      <c r="E13" s="35"/>
      <c r="F13" s="35"/>
      <c r="G13" s="36"/>
      <c r="H13" s="36"/>
      <c r="I13" s="35"/>
      <c r="L13" s="37"/>
      <c r="Q13" s="37"/>
      <c r="S13" s="37"/>
    </row>
    <row r="14" spans="1:33" hidden="1" x14ac:dyDescent="0.25">
      <c r="A14" t="s">
        <v>27</v>
      </c>
    </row>
    <row r="15" spans="1:33" ht="60" customHeight="1" x14ac:dyDescent="0.25">
      <c r="A15" s="54" t="s">
        <v>31</v>
      </c>
      <c r="B15" s="54"/>
      <c r="C15" s="54"/>
      <c r="D15" s="54"/>
      <c r="E15" s="54"/>
      <c r="F15" s="54"/>
      <c r="G15" s="54"/>
      <c r="H15" s="54"/>
      <c r="I15" s="54"/>
      <c r="K15" s="37"/>
      <c r="R15" s="37"/>
      <c r="W15" s="37"/>
      <c r="AC15" s="37"/>
      <c r="AG15" s="37"/>
    </row>
    <row r="16" spans="1:33" x14ac:dyDescent="0.25">
      <c r="A16" s="38" t="s">
        <v>32</v>
      </c>
      <c r="B16" s="38"/>
      <c r="C16" s="38"/>
      <c r="D16" s="38"/>
      <c r="E16" s="38"/>
      <c r="F16" s="38"/>
      <c r="G16" s="38"/>
      <c r="H16" s="38"/>
      <c r="I16" s="38"/>
      <c r="K16" s="37"/>
      <c r="Q16" s="37"/>
    </row>
    <row r="17" spans="1:34" x14ac:dyDescent="0.25">
      <c r="A17" s="46" t="s">
        <v>30</v>
      </c>
      <c r="B17" s="46"/>
      <c r="C17" s="46"/>
      <c r="D17" s="46"/>
      <c r="E17" s="46"/>
      <c r="F17" s="46"/>
      <c r="G17" s="46"/>
      <c r="H17" s="47"/>
      <c r="I17" s="46"/>
      <c r="K17" s="37"/>
      <c r="AC17" s="37"/>
    </row>
    <row r="18" spans="1:34" x14ac:dyDescent="0.25">
      <c r="A18" s="58" t="s">
        <v>38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</row>
    <row r="20" spans="1:34" x14ac:dyDescent="0.25">
      <c r="J20" s="37"/>
    </row>
    <row r="22" spans="1:34" x14ac:dyDescent="0.25">
      <c r="J22" s="37"/>
    </row>
  </sheetData>
  <mergeCells count="4">
    <mergeCell ref="L5:L11"/>
    <mergeCell ref="A15:I15"/>
    <mergeCell ref="A1:Z1"/>
    <mergeCell ref="Q2:Z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MGRT digitalizacija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Kalin</dc:creator>
  <cp:lastModifiedBy>Martin Bratanič</cp:lastModifiedBy>
  <cp:lastPrinted>2020-02-20T11:07:31Z</cp:lastPrinted>
  <dcterms:created xsi:type="dcterms:W3CDTF">2020-02-19T14:31:53Z</dcterms:created>
  <dcterms:modified xsi:type="dcterms:W3CDTF">2020-02-21T10:15:54Z</dcterms:modified>
</cp:coreProperties>
</file>