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a_delovni_zvezek" defaultThemeVersion="124226"/>
  <mc:AlternateContent xmlns:mc="http://schemas.openxmlformats.org/markup-compatibility/2006">
    <mc:Choice Requires="x15">
      <x15ac:absPath xmlns:x15ac="http://schemas.microsoft.com/office/spreadsheetml/2010/11/ac" url="C:\Users\Uporabnik\Desktop\"/>
    </mc:Choice>
  </mc:AlternateContent>
  <xr:revisionPtr revIDLastSave="0" documentId="8_{51F69961-33B3-4574-A302-ABFAA9A82ADB}" xr6:coauthVersionLast="46" xr6:coauthVersionMax="46" xr10:uidLastSave="{00000000-0000-0000-0000-000000000000}"/>
  <bookViews>
    <workbookView xWindow="4875" yWindow="2835" windowWidth="20910" windowHeight="11835" tabRatio="919" firstSheet="1" activeTab="7" xr2:uid="{00000000-000D-0000-FFFF-FFFF00000000}"/>
  </bookViews>
  <sheets>
    <sheet name="REKAPITULACIJA" sheetId="3" state="hidden" r:id="rId1"/>
    <sheet name="REKAPITULACIJA GO " sheetId="45" r:id="rId2"/>
    <sheet name="GRADBENA DELA" sheetId="40" r:id="rId3"/>
    <sheet name="I.Pripr._odstr. dela" sheetId="49" r:id="rId4"/>
    <sheet name="II.Zemeljska dela" sheetId="25" r:id="rId5"/>
    <sheet name="III.AB dela" sheetId="26" r:id="rId6"/>
    <sheet name="IV.Tesarska dela" sheetId="27" r:id="rId7"/>
    <sheet name="VI.Zidarska dela" sheetId="29" r:id="rId8"/>
    <sheet name="VII.Kanalizacija" sheetId="30" r:id="rId9"/>
    <sheet name="OBRTNIŠKA DELA" sheetId="31" r:id="rId10"/>
    <sheet name="I.Krovsko kleparska dela" sheetId="32" r:id="rId11"/>
    <sheet name="II. Zelena streha" sheetId="53" r:id="rId12"/>
    <sheet name="III.Ključavničarska dela" sheetId="33" r:id="rId13"/>
    <sheet name="III.Mizarska dela" sheetId="46" state="hidden" r:id="rId14"/>
    <sheet name="IV. Dvigalo" sheetId="51" r:id="rId15"/>
    <sheet name="V.ALU stavbno pohištvo" sheetId="50" r:id="rId16"/>
    <sheet name="VI. Mizarska dela" sheetId="52" r:id="rId17"/>
    <sheet name="VII.Keramičarska dela" sheetId="35" r:id="rId18"/>
    <sheet name="V.Kamnoseška dela" sheetId="42" state="hidden" r:id="rId19"/>
    <sheet name="VIII.Tlaki" sheetId="48" r:id="rId20"/>
    <sheet name="IX.Suhomontažna dela" sheetId="41" r:id="rId21"/>
    <sheet name="X.Slikopleskarska dela" sheetId="37" r:id="rId22"/>
    <sheet name="XI.Fasada" sheetId="38" r:id="rId23"/>
    <sheet name="XII. Prometna signalizacija " sheetId="65" r:id="rId24"/>
    <sheet name="XII. Razno" sheetId="39" r:id="rId25"/>
    <sheet name="II. Zidarska dela" sheetId="6" state="hidden" r:id="rId26"/>
    <sheet name="III. Tesarska dela" sheetId="7" state="hidden" r:id="rId27"/>
    <sheet name="B. OBRTNIŠKA DELA" sheetId="18" state="hidden" r:id="rId28"/>
    <sheet name="I. Krovsko kleparska dela" sheetId="9" state="hidden" r:id="rId29"/>
    <sheet name="II. Klučavničarska dela" sheetId="10" state="hidden" r:id="rId30"/>
    <sheet name="III. Alu in steklarska dela" sheetId="11" state="hidden" r:id="rId31"/>
    <sheet name="IV. Mizarska dela" sheetId="22" state="hidden" r:id="rId32"/>
    <sheet name=" V. Pred. stene in spušč. str." sheetId="23" state="hidden" r:id="rId33"/>
    <sheet name="VI. Keramičarska dela" sheetId="24" state="hidden" r:id="rId34"/>
    <sheet name="VII. Fasaderska dela" sheetId="4" state="hidden" r:id="rId35"/>
    <sheet name="VIII. Slikopleskarska dela" sheetId="20" state="hidden" r:id="rId36"/>
    <sheet name="IX. Razna obrtniška dela" sheetId="19" state="hidden" r:id="rId37"/>
  </sheets>
  <externalReferences>
    <externalReference r:id="rId38"/>
  </externalReferences>
  <definedNames>
    <definedName name="_xlnm.Print_Area" localSheetId="32">' V. Pred. stene in spušč. str.'!$A$1:$F$24</definedName>
    <definedName name="_xlnm.Print_Area" localSheetId="27">'B. OBRTNIŠKA DELA'!$A$1:$D$29</definedName>
    <definedName name="_xlnm.Print_Area" localSheetId="2">'GRADBENA DELA'!$A$1:$F$21</definedName>
    <definedName name="_xlnm.Print_Area" localSheetId="28">'I. Krovsko kleparska dela'!$A$1:$F$26</definedName>
    <definedName name="_xlnm.Print_Area" localSheetId="10">'I.Krovsko kleparska dela'!$A$1:$F$90</definedName>
    <definedName name="_xlnm.Print_Area" localSheetId="3">'I.Pripr._odstr. dela'!$A$1:$F$59</definedName>
    <definedName name="_xlnm.Print_Area" localSheetId="29">'II. Klučavničarska dela'!$A$1:$F$30</definedName>
    <definedName name="_xlnm.Print_Area" localSheetId="11">'II. Zelena streha'!$A$1:$F$45</definedName>
    <definedName name="_xlnm.Print_Area" localSheetId="4">'II.Zemeljska dela'!$A$1:$F$14</definedName>
    <definedName name="_xlnm.Print_Area" localSheetId="30">'III. Alu in steklarska dela'!$A$1:$F$42</definedName>
    <definedName name="_xlnm.Print_Area" localSheetId="26">'III. Tesarska dela'!$A$1:$F$26</definedName>
    <definedName name="_xlnm.Print_Area" localSheetId="5">'III.AB dela'!$A$1:$F$89</definedName>
    <definedName name="_xlnm.Print_Area" localSheetId="12">'III.Ključavničarska dela'!$A$1:$F$42</definedName>
    <definedName name="_xlnm.Print_Area" localSheetId="13">'III.Mizarska dela'!$A$1:$F$12</definedName>
    <definedName name="_xlnm.Print_Area" localSheetId="14">'IV. Dvigalo'!$A$1:$F$12</definedName>
    <definedName name="_xlnm.Print_Area" localSheetId="31">'IV. Mizarska dela'!$A$1:$F$28</definedName>
    <definedName name="_xlnm.Print_Area" localSheetId="6">'IV.Tesarska dela'!$A$1:$F$116</definedName>
    <definedName name="_xlnm.Print_Area" localSheetId="36">'IX. Razna obrtniška dela'!$A$1:$F$56</definedName>
    <definedName name="_xlnm.Print_Area" localSheetId="20">'IX.Suhomontažna dela'!$A$1:$F$78</definedName>
    <definedName name="_xlnm.Print_Area" localSheetId="9">'OBRTNIŠKA DELA'!$A$1:$F$35</definedName>
    <definedName name="_xlnm.Print_Area" localSheetId="0">REKAPITULACIJA!$A$1:$D$22</definedName>
    <definedName name="_xlnm.Print_Area" localSheetId="1">'REKAPITULACIJA GO '!$A$1:$F$24</definedName>
    <definedName name="_xlnm.Print_Area" localSheetId="15">'V.ALU stavbno pohištvo'!$A$1:$F$68</definedName>
    <definedName name="_xlnm.Print_Area" localSheetId="18">'V.Kamnoseška dela'!$A$1:$F$17</definedName>
    <definedName name="_xlnm.Print_Area" localSheetId="33">'VI. Keramičarska dela'!$A$1:$F$18</definedName>
    <definedName name="_xlnm.Print_Area" localSheetId="16">'VI. Mizarska dela'!$A$1:$F$83</definedName>
    <definedName name="_xlnm.Print_Area" localSheetId="7">'VI.Zidarska dela'!$A$1:$F$109</definedName>
    <definedName name="_xlnm.Print_Area" localSheetId="34">'VII. Fasaderska dela'!$A$1:$F$18</definedName>
    <definedName name="_xlnm.Print_Area" localSheetId="8">VII.Kanalizacija!$A$1:$F$38</definedName>
    <definedName name="_xlnm.Print_Area" localSheetId="17">'VII.Keramičarska dela'!$A$1:$F$37</definedName>
    <definedName name="_xlnm.Print_Area" localSheetId="35">'VIII. Slikopleskarska dela'!$A$1:$F$14</definedName>
    <definedName name="_xlnm.Print_Area" localSheetId="19">VIII.Tlaki!$A$1:$F$25</definedName>
    <definedName name="_xlnm.Print_Area" localSheetId="21">'X.Slikopleskarska dela'!$A$1:$F$26</definedName>
    <definedName name="_xlnm.Print_Area" localSheetId="22">XI.Fasada!$A$1:$F$55</definedName>
    <definedName name="_xlnm.Print_Area" localSheetId="23">'XII. Prometna signalizacija '!$A$1:$F$28</definedName>
    <definedName name="_xlnm.Print_Area" localSheetId="24">'XII. Razno'!$A$1:$F$42</definedName>
    <definedName name="text">[1]SifrantCenik!$A:$A</definedName>
    <definedName name="_xlnm.Print_Titles" localSheetId="27">'B. OBRTNIŠKA DELA'!#REF!</definedName>
    <definedName name="_xlnm.Print_Titles" localSheetId="28">'I. Krovsko kleparska dela'!$3:$3</definedName>
    <definedName name="_xlnm.Print_Titles" localSheetId="10">'I.Krovsko kleparska dela'!$3:$3</definedName>
    <definedName name="_xlnm.Print_Titles" localSheetId="29">'II. Klučavničarska dela'!$3:$3</definedName>
    <definedName name="_xlnm.Print_Titles" localSheetId="11">'II. Zelena streha'!$3:$3</definedName>
    <definedName name="_xlnm.Print_Titles" localSheetId="25">'II. Zidarska dela'!$3:$3</definedName>
    <definedName name="_xlnm.Print_Titles" localSheetId="4">'II.Zemeljska dela'!$3:$3</definedName>
    <definedName name="_xlnm.Print_Titles" localSheetId="30">'III. Alu in steklarska dela'!$3:$3</definedName>
    <definedName name="_xlnm.Print_Titles" localSheetId="5">'III.AB dela'!$3:$3</definedName>
    <definedName name="_xlnm.Print_Titles" localSheetId="12">'III.Ključavničarska dela'!$3:$3</definedName>
    <definedName name="_xlnm.Print_Titles" localSheetId="13">'III.Mizarska dela'!$3:$3</definedName>
    <definedName name="_xlnm.Print_Titles" localSheetId="14">'IV. Dvigalo'!$3:$3</definedName>
    <definedName name="_xlnm.Print_Titles" localSheetId="6">'IV.Tesarska dela'!$3:$3</definedName>
    <definedName name="_xlnm.Print_Titles" localSheetId="36">'IX. Razna obrtniška dela'!$3:$3</definedName>
    <definedName name="_xlnm.Print_Titles" localSheetId="20">'IX.Suhomontažna dela'!$3:$3</definedName>
    <definedName name="_xlnm.Print_Titles" localSheetId="15">'V.ALU stavbno pohištvo'!$3:$3</definedName>
    <definedName name="_xlnm.Print_Titles" localSheetId="18">'V.Kamnoseška dela'!$3:$3</definedName>
    <definedName name="_xlnm.Print_Titles" localSheetId="16">'VI. Mizarska dela'!$3:$3</definedName>
    <definedName name="_xlnm.Print_Titles" localSheetId="7">'VI.Zidarska dela'!$3:$3</definedName>
    <definedName name="_xlnm.Print_Titles" localSheetId="34">'VII. Fasaderska dela'!$3:$3</definedName>
    <definedName name="_xlnm.Print_Titles" localSheetId="17">'VII.Keramičarska dela'!$3:$3</definedName>
    <definedName name="_xlnm.Print_Titles" localSheetId="19">VIII.Tlaki!$3:$3</definedName>
    <definedName name="_xlnm.Print_Titles" localSheetId="21">'X.Slikopleskarska dela'!$3:$3</definedName>
    <definedName name="_xlnm.Print_Titles" localSheetId="22">XI.Fasada!$3:$3</definedName>
    <definedName name="_xlnm.Print_Titles" localSheetId="23">'XII. Prometna signalizacija '!$3:$3</definedName>
    <definedName name="_xlnm.Print_Titles" localSheetId="24">'XII. Razno'!$3:$3</definedName>
  </definedNames>
  <calcPr calcId="191029" calcMode="manual"/>
</workbook>
</file>

<file path=xl/calcChain.xml><?xml version="1.0" encoding="utf-8"?>
<calcChain xmlns="http://schemas.openxmlformats.org/spreadsheetml/2006/main">
  <c r="D7" i="29" l="1"/>
  <c r="F7" i="29" s="1"/>
  <c r="F35" i="39"/>
  <c r="F9" i="39" l="1"/>
  <c r="D52" i="38"/>
  <c r="F52" i="38" s="1"/>
  <c r="D50" i="38"/>
  <c r="F50" i="38" s="1"/>
  <c r="D48" i="38"/>
  <c r="F48" i="38" s="1"/>
  <c r="F46" i="38"/>
  <c r="D39" i="38"/>
  <c r="F39" i="38" s="1"/>
  <c r="D31" i="38"/>
  <c r="F31" i="38" s="1"/>
  <c r="D23" i="38"/>
  <c r="F23" i="38" s="1"/>
  <c r="D15" i="38"/>
  <c r="F15" i="38" s="1"/>
  <c r="D13" i="38"/>
  <c r="F13" i="38" s="1"/>
  <c r="D11" i="38"/>
  <c r="F11" i="38" s="1"/>
  <c r="D9" i="38"/>
  <c r="F9" i="38" s="1"/>
  <c r="A9" i="38"/>
  <c r="F7" i="38"/>
  <c r="A7" i="38"/>
  <c r="F55" i="38" l="1"/>
  <c r="F27" i="31" s="1"/>
  <c r="D65" i="41" l="1"/>
  <c r="F65" i="41" s="1"/>
  <c r="D19" i="29" l="1"/>
  <c r="D17" i="29"/>
  <c r="F43" i="29"/>
  <c r="D42" i="29"/>
  <c r="F42" i="29" s="1"/>
  <c r="D13" i="29"/>
  <c r="F13" i="29" s="1"/>
  <c r="F19" i="32"/>
  <c r="D19" i="32"/>
  <c r="D15" i="32"/>
  <c r="F15" i="32" s="1"/>
  <c r="D46" i="29"/>
  <c r="D53" i="41"/>
  <c r="F53" i="41" s="1"/>
  <c r="F17" i="32"/>
  <c r="F13" i="32"/>
  <c r="D21" i="29" l="1"/>
  <c r="F34" i="53"/>
  <c r="D51" i="29"/>
  <c r="F51" i="29" s="1"/>
  <c r="F21" i="39"/>
  <c r="F39" i="33"/>
  <c r="F107" i="27"/>
  <c r="F106" i="27"/>
  <c r="F105" i="27"/>
  <c r="F104" i="27"/>
  <c r="F103" i="27"/>
  <c r="F98" i="27"/>
  <c r="F102" i="27"/>
  <c r="F101" i="27"/>
  <c r="F100" i="27"/>
  <c r="F99" i="27"/>
  <c r="F97" i="27"/>
  <c r="F96" i="27"/>
  <c r="D7" i="25"/>
  <c r="D11" i="25" l="1"/>
  <c r="F11" i="25" s="1"/>
  <c r="D9" i="25"/>
  <c r="F19" i="39" l="1"/>
  <c r="F11" i="29"/>
  <c r="D18" i="48" l="1"/>
  <c r="D17" i="48"/>
  <c r="D16" i="48"/>
  <c r="D15" i="48"/>
  <c r="F20" i="30"/>
  <c r="D67" i="41"/>
  <c r="F29" i="39" l="1"/>
  <c r="F37" i="33" l="1"/>
  <c r="D33" i="33"/>
  <c r="F33" i="33" s="1"/>
  <c r="F36" i="33"/>
  <c r="F57" i="50" l="1"/>
  <c r="F63" i="50"/>
  <c r="F64" i="50"/>
  <c r="F62" i="50"/>
  <c r="F61" i="50"/>
  <c r="F60" i="50"/>
  <c r="F59" i="50"/>
  <c r="F58" i="50"/>
  <c r="F56" i="50"/>
  <c r="F55" i="50"/>
  <c r="F54" i="50"/>
  <c r="F75" i="41"/>
  <c r="F16" i="39"/>
  <c r="F15" i="39"/>
  <c r="F17" i="39"/>
  <c r="F14" i="39"/>
  <c r="D23" i="37" l="1"/>
  <c r="F23" i="37"/>
  <c r="D78" i="52"/>
  <c r="F78" i="52" s="1"/>
  <c r="D79" i="52"/>
  <c r="F79" i="52"/>
  <c r="F37" i="39"/>
  <c r="F33" i="39"/>
  <c r="F31" i="39"/>
  <c r="F27" i="39"/>
  <c r="F25" i="39"/>
  <c r="F23" i="39"/>
  <c r="A5" i="65" l="1"/>
  <c r="A7" i="65" s="1"/>
  <c r="F24" i="65"/>
  <c r="F23" i="65"/>
  <c r="F22" i="65"/>
  <c r="F21" i="65"/>
  <c r="F20" i="65"/>
  <c r="F17" i="65"/>
  <c r="D5" i="65"/>
  <c r="A9" i="65" l="1"/>
  <c r="D15" i="65"/>
  <c r="F15" i="65" s="1"/>
  <c r="F13" i="65"/>
  <c r="D11" i="65"/>
  <c r="F11" i="65" s="1"/>
  <c r="F9" i="65"/>
  <c r="F7" i="65"/>
  <c r="F5" i="65"/>
  <c r="F27" i="65" l="1"/>
  <c r="A11" i="65"/>
  <c r="F29" i="31"/>
  <c r="A13" i="65" l="1"/>
  <c r="A15" i="65"/>
  <c r="F22" i="48"/>
  <c r="F21" i="48"/>
  <c r="F9" i="32"/>
  <c r="F23" i="29"/>
  <c r="F55" i="41"/>
  <c r="A17" i="65" l="1"/>
  <c r="A19" i="65" s="1"/>
  <c r="F53" i="52"/>
  <c r="F37" i="52"/>
  <c r="D51" i="32"/>
  <c r="F51" i="32" s="1"/>
  <c r="D53" i="32"/>
  <c r="F53" i="32" s="1"/>
  <c r="D48" i="32"/>
  <c r="D31" i="33" l="1"/>
  <c r="F31" i="33"/>
  <c r="F11" i="39"/>
  <c r="F38" i="53"/>
  <c r="F36" i="53"/>
  <c r="D17" i="30"/>
  <c r="F17" i="30" s="1"/>
  <c r="F7" i="39"/>
  <c r="F69" i="41"/>
  <c r="D72" i="41"/>
  <c r="F72" i="41" s="1"/>
  <c r="D73" i="41"/>
  <c r="F73" i="41" s="1"/>
  <c r="D34" i="35"/>
  <c r="D32" i="35"/>
  <c r="D31" i="35"/>
  <c r="D29" i="35"/>
  <c r="D37" i="32" l="1"/>
  <c r="F37" i="32" s="1"/>
  <c r="F5" i="39"/>
  <c r="F42" i="39" s="1"/>
  <c r="D42" i="53" l="1"/>
  <c r="F42" i="53"/>
  <c r="F40" i="53"/>
  <c r="F32" i="53"/>
  <c r="D18" i="53"/>
  <c r="F18" i="53"/>
  <c r="A7" i="53"/>
  <c r="A20" i="53" l="1"/>
  <c r="A34" i="53" s="1"/>
  <c r="A36" i="53" l="1"/>
  <c r="A38" i="53"/>
  <c r="A40" i="53" l="1"/>
  <c r="A42" i="53" s="1"/>
  <c r="A7" i="50" l="1"/>
  <c r="A16" i="50" s="1"/>
  <c r="A7" i="32"/>
  <c r="F45" i="53"/>
  <c r="F9" i="31" s="1"/>
  <c r="D8" i="37"/>
  <c r="D7" i="37"/>
  <c r="A9" i="32" l="1"/>
  <c r="A11" i="32" s="1"/>
  <c r="A21" i="50"/>
  <c r="A27" i="50" s="1"/>
  <c r="D13" i="37"/>
  <c r="F13" i="37" s="1"/>
  <c r="D14" i="37"/>
  <c r="D15" i="37"/>
  <c r="F15" i="37" s="1"/>
  <c r="D9" i="37"/>
  <c r="F14" i="37"/>
  <c r="A13" i="32" l="1"/>
  <c r="A15" i="32" s="1"/>
  <c r="A35" i="50"/>
  <c r="D10" i="37"/>
  <c r="F10" i="37" s="1"/>
  <c r="D8" i="35"/>
  <c r="A7" i="41"/>
  <c r="F67" i="41"/>
  <c r="D63" i="41"/>
  <c r="F63" i="41" s="1"/>
  <c r="D62" i="41"/>
  <c r="F62" i="41" s="1"/>
  <c r="A17" i="32" l="1"/>
  <c r="A19" i="32" s="1"/>
  <c r="A21" i="32" s="1"/>
  <c r="A12" i="41"/>
  <c r="A41" i="50"/>
  <c r="A14" i="41" l="1"/>
  <c r="A19" i="41" s="1"/>
  <c r="A44" i="50"/>
  <c r="A50" i="50" s="1"/>
  <c r="A53" i="50" s="1"/>
  <c r="A23" i="32"/>
  <c r="A21" i="41" l="1"/>
  <c r="A26" i="41" s="1"/>
  <c r="A30" i="41" s="1"/>
  <c r="A25" i="32"/>
  <c r="A33" i="41" l="1"/>
  <c r="A27" i="32"/>
  <c r="A29" i="32" s="1"/>
  <c r="A37" i="41" l="1"/>
  <c r="A44" i="41" s="1"/>
  <c r="A53" i="41" s="1"/>
  <c r="A41" i="41"/>
  <c r="A31" i="32"/>
  <c r="A55" i="41" l="1"/>
  <c r="A57" i="41" s="1"/>
  <c r="A33" i="32"/>
  <c r="A59" i="41" l="1"/>
  <c r="A61" i="41" s="1"/>
  <c r="A35" i="32"/>
  <c r="D59" i="41"/>
  <c r="D57" i="41"/>
  <c r="F57" i="41"/>
  <c r="F21" i="37"/>
  <c r="D51" i="41"/>
  <c r="F51" i="41" s="1"/>
  <c r="D49" i="41"/>
  <c r="F49" i="41" s="1"/>
  <c r="D50" i="41"/>
  <c r="F50" i="41" s="1"/>
  <c r="D47" i="41"/>
  <c r="F47" i="41" s="1"/>
  <c r="D48" i="41"/>
  <c r="F48" i="41" s="1"/>
  <c r="D46" i="41"/>
  <c r="F46" i="41" s="1"/>
  <c r="D45" i="41"/>
  <c r="D12" i="41"/>
  <c r="D42" i="41"/>
  <c r="F42" i="41"/>
  <c r="D39" i="41"/>
  <c r="D38" i="41"/>
  <c r="F38" i="41"/>
  <c r="D35" i="41"/>
  <c r="D34" i="41"/>
  <c r="F39" i="41" s="1"/>
  <c r="F34" i="41"/>
  <c r="D31" i="41"/>
  <c r="F35" i="41" s="1"/>
  <c r="F31" i="41"/>
  <c r="D28" i="41"/>
  <c r="D27" i="41"/>
  <c r="D24" i="41"/>
  <c r="D23" i="41"/>
  <c r="F28" i="41" s="1"/>
  <c r="D22" i="41"/>
  <c r="F27" i="41" s="1"/>
  <c r="F23" i="41"/>
  <c r="D19" i="41"/>
  <c r="F12" i="41" s="1"/>
  <c r="D10" i="41"/>
  <c r="F17" i="41" s="1"/>
  <c r="D17" i="41"/>
  <c r="F22" i="41" s="1"/>
  <c r="D9" i="41"/>
  <c r="F16" i="41" s="1"/>
  <c r="D16" i="41"/>
  <c r="F9" i="41" s="1"/>
  <c r="D8" i="41"/>
  <c r="F15" i="41" s="1"/>
  <c r="D15" i="41"/>
  <c r="F19" i="41" s="1"/>
  <c r="A65" i="41" l="1"/>
  <c r="A67" i="41" s="1"/>
  <c r="D20" i="37"/>
  <c r="D19" i="37"/>
  <c r="D18" i="37"/>
  <c r="A37" i="32"/>
  <c r="A39" i="32" s="1"/>
  <c r="A41" i="32" s="1"/>
  <c r="F10" i="41"/>
  <c r="F24" i="41"/>
  <c r="F8" i="41"/>
  <c r="F18" i="48"/>
  <c r="F17" i="48"/>
  <c r="F16" i="48"/>
  <c r="F15" i="48"/>
  <c r="F75" i="52"/>
  <c r="F70" i="52"/>
  <c r="F74" i="52"/>
  <c r="F73" i="52"/>
  <c r="F69" i="52"/>
  <c r="F68" i="52"/>
  <c r="F67" i="52"/>
  <c r="F66" i="52"/>
  <c r="A69" i="41" l="1"/>
  <c r="A71" i="41" s="1"/>
  <c r="A75" i="41" s="1"/>
  <c r="A43" i="32"/>
  <c r="A45" i="32" s="1"/>
  <c r="A47" i="32" s="1"/>
  <c r="A50" i="32" s="1"/>
  <c r="F63" i="52"/>
  <c r="F62" i="52"/>
  <c r="A53" i="32" l="1"/>
  <c r="A57" i="32" s="1"/>
  <c r="A64" i="32" s="1"/>
  <c r="A66" i="32" s="1"/>
  <c r="A68" i="32" s="1"/>
  <c r="A70" i="32" s="1"/>
  <c r="A72" i="32" s="1"/>
  <c r="A74" i="32" s="1"/>
  <c r="A76" i="32" s="1"/>
  <c r="A79" i="32" s="1"/>
  <c r="A85" i="32" s="1"/>
  <c r="A87" i="32" s="1"/>
  <c r="F12" i="48"/>
  <c r="D11" i="48"/>
  <c r="F11" i="48" s="1"/>
  <c r="D10" i="48"/>
  <c r="F10" i="48"/>
  <c r="D9" i="48"/>
  <c r="F9" i="48" s="1"/>
  <c r="D8" i="48"/>
  <c r="A7" i="35"/>
  <c r="F34" i="35"/>
  <c r="D33" i="35"/>
  <c r="F33" i="35"/>
  <c r="F32" i="35"/>
  <c r="F31" i="35"/>
  <c r="D30" i="35"/>
  <c r="D28" i="35"/>
  <c r="F29" i="35"/>
  <c r="D24" i="35"/>
  <c r="F24" i="35" s="1"/>
  <c r="D23" i="35"/>
  <c r="F23" i="35" s="1"/>
  <c r="D22" i="35"/>
  <c r="D19" i="35"/>
  <c r="D17" i="35"/>
  <c r="D16" i="35"/>
  <c r="D12" i="35"/>
  <c r="D13" i="35"/>
  <c r="F13" i="35"/>
  <c r="F12" i="35"/>
  <c r="D10" i="35"/>
  <c r="F10" i="35" s="1"/>
  <c r="D11" i="35"/>
  <c r="F11" i="35"/>
  <c r="D9" i="35"/>
  <c r="F9" i="35" s="1"/>
  <c r="A15" i="35" l="1"/>
  <c r="A7" i="52"/>
  <c r="F59" i="52"/>
  <c r="F56" i="52"/>
  <c r="F52" i="52"/>
  <c r="F49" i="52"/>
  <c r="F34" i="52"/>
  <c r="F48" i="52"/>
  <c r="F45" i="52"/>
  <c r="F44" i="52"/>
  <c r="F41" i="52"/>
  <c r="F40" i="52"/>
  <c r="F17" i="52"/>
  <c r="F31" i="52"/>
  <c r="F28" i="52"/>
  <c r="F27" i="52"/>
  <c r="F24" i="52"/>
  <c r="F21" i="52"/>
  <c r="F20" i="52"/>
  <c r="F13" i="52"/>
  <c r="F12" i="52"/>
  <c r="F11" i="52"/>
  <c r="F16" i="52"/>
  <c r="F8" i="52"/>
  <c r="A10" i="52" l="1"/>
  <c r="A19" i="35"/>
  <c r="A21" i="35" s="1"/>
  <c r="F82" i="52"/>
  <c r="F17" i="31" l="1"/>
  <c r="A26" i="35"/>
  <c r="A15" i="52"/>
  <c r="A19" i="52" l="1"/>
  <c r="A23" i="52" l="1"/>
  <c r="A26" i="52" l="1"/>
  <c r="A30" i="52" l="1"/>
  <c r="A33" i="52" s="1"/>
  <c r="A36" i="52" s="1"/>
  <c r="A39" i="52" l="1"/>
  <c r="A43" i="52" l="1"/>
  <c r="A47" i="52" l="1"/>
  <c r="A51" i="52" l="1"/>
  <c r="A55" i="52" s="1"/>
  <c r="A58" i="52" s="1"/>
  <c r="A61" i="52" s="1"/>
  <c r="A65" i="52" s="1"/>
  <c r="A72" i="52" s="1"/>
  <c r="A77" i="52" s="1"/>
  <c r="F51" i="50" l="1"/>
  <c r="F48" i="50"/>
  <c r="F47" i="50"/>
  <c r="F46" i="50"/>
  <c r="F45" i="50"/>
  <c r="F39" i="50"/>
  <c r="F38" i="50"/>
  <c r="F42" i="50"/>
  <c r="F37" i="50"/>
  <c r="F36" i="50"/>
  <c r="F33" i="50"/>
  <c r="F32" i="50"/>
  <c r="F31" i="50"/>
  <c r="F30" i="50"/>
  <c r="F29" i="50"/>
  <c r="F28" i="50"/>
  <c r="F25" i="50"/>
  <c r="F24" i="50"/>
  <c r="F23" i="50"/>
  <c r="F22" i="50"/>
  <c r="F19" i="50"/>
  <c r="F18" i="50"/>
  <c r="F14" i="50" l="1"/>
  <c r="F13" i="50"/>
  <c r="F29" i="33" l="1"/>
  <c r="A7" i="33" l="1"/>
  <c r="D75" i="26"/>
  <c r="F75" i="26" s="1"/>
  <c r="F19" i="33"/>
  <c r="F17" i="33"/>
  <c r="D15" i="33"/>
  <c r="F15" i="33" s="1"/>
  <c r="D23" i="33"/>
  <c r="F23" i="33" s="1"/>
  <c r="D21" i="33"/>
  <c r="F21" i="33" s="1"/>
  <c r="D27" i="33"/>
  <c r="F27" i="33" s="1"/>
  <c r="F25" i="33"/>
  <c r="D13" i="33"/>
  <c r="D11" i="33"/>
  <c r="F11" i="33" s="1"/>
  <c r="D73" i="26"/>
  <c r="F73" i="26" s="1"/>
  <c r="D9" i="33"/>
  <c r="F9" i="33" s="1"/>
  <c r="F70" i="32"/>
  <c r="A9" i="33" l="1"/>
  <c r="A11" i="33" s="1"/>
  <c r="A13" i="33" s="1"/>
  <c r="F48" i="32"/>
  <c r="A15" i="33" l="1"/>
  <c r="A17" i="33" l="1"/>
  <c r="A19" i="33" s="1"/>
  <c r="A21" i="33" l="1"/>
  <c r="A23" i="33" l="1"/>
  <c r="A25" i="33" s="1"/>
  <c r="A27" i="33" s="1"/>
  <c r="A29" i="33" s="1"/>
  <c r="A31" i="33" s="1"/>
  <c r="A33" i="33" l="1"/>
  <c r="A35" i="33" s="1"/>
  <c r="A39" i="33" s="1"/>
  <c r="F39" i="32"/>
  <c r="D87" i="32"/>
  <c r="F87" i="32" s="1"/>
  <c r="D83" i="32"/>
  <c r="F83" i="32" s="1"/>
  <c r="F85" i="32"/>
  <c r="F66" i="32"/>
  <c r="A47" i="33" l="1"/>
  <c r="F76" i="32"/>
  <c r="F74" i="32"/>
  <c r="F72" i="32"/>
  <c r="F68" i="32"/>
  <c r="F64" i="32"/>
  <c r="F62" i="32"/>
  <c r="F45" i="32" l="1"/>
  <c r="F33" i="32"/>
  <c r="D31" i="32"/>
  <c r="D29" i="32"/>
  <c r="D27" i="32"/>
  <c r="D23" i="32"/>
  <c r="D99" i="29"/>
  <c r="F99" i="29" s="1"/>
  <c r="F97" i="29"/>
  <c r="D109" i="27"/>
  <c r="F109" i="27" s="1"/>
  <c r="F77" i="26"/>
  <c r="D9" i="30"/>
  <c r="D35" i="30"/>
  <c r="A7" i="30"/>
  <c r="F32" i="30"/>
  <c r="D13" i="30"/>
  <c r="F30" i="30"/>
  <c r="A12" i="30" l="1"/>
  <c r="A16" i="30" s="1"/>
  <c r="A19" i="30" s="1"/>
  <c r="A22" i="30" l="1"/>
  <c r="A24" i="30"/>
  <c r="A26" i="30" l="1"/>
  <c r="A28" i="30" s="1"/>
  <c r="A30" i="30" l="1"/>
  <c r="A32" i="30" s="1"/>
  <c r="A34" i="30" s="1"/>
  <c r="F26" i="30" l="1"/>
  <c r="F14" i="30"/>
  <c r="D10" i="30"/>
  <c r="F10" i="30" s="1"/>
  <c r="F9" i="30"/>
  <c r="D8" i="30"/>
  <c r="F95" i="29" l="1"/>
  <c r="D91" i="29"/>
  <c r="F91" i="29" s="1"/>
  <c r="F89" i="29"/>
  <c r="F87" i="29"/>
  <c r="F86" i="29"/>
  <c r="F83" i="29"/>
  <c r="F82" i="29"/>
  <c r="D72" i="29"/>
  <c r="D75" i="29"/>
  <c r="D73" i="29"/>
  <c r="D76" i="29"/>
  <c r="F76" i="29" s="1"/>
  <c r="D77" i="29"/>
  <c r="F77" i="29" s="1"/>
  <c r="D74" i="29"/>
  <c r="F74" i="29" s="1"/>
  <c r="F75" i="29"/>
  <c r="F73" i="29"/>
  <c r="D67" i="29"/>
  <c r="D66" i="29"/>
  <c r="D53" i="29" l="1"/>
  <c r="F53" i="29" s="1"/>
  <c r="F61" i="29"/>
  <c r="D55" i="29"/>
  <c r="F55" i="29" s="1"/>
  <c r="D49" i="29"/>
  <c r="D47" i="29"/>
  <c r="F47" i="29" s="1"/>
  <c r="F46" i="29"/>
  <c r="F19" i="29"/>
  <c r="D29" i="29"/>
  <c r="D35" i="29"/>
  <c r="D37" i="29"/>
  <c r="D31" i="29"/>
  <c r="F31" i="29" s="1"/>
  <c r="D39" i="29"/>
  <c r="F33" i="29"/>
  <c r="F25" i="29"/>
  <c r="F15" i="29"/>
  <c r="D9" i="29"/>
  <c r="D111" i="27"/>
  <c r="D101" i="29" s="1"/>
  <c r="D93" i="27"/>
  <c r="F93" i="27" s="1"/>
  <c r="D91" i="27"/>
  <c r="D92" i="27"/>
  <c r="F92" i="27" s="1"/>
  <c r="F91" i="27"/>
  <c r="D90" i="27"/>
  <c r="F90" i="27" s="1"/>
  <c r="D87" i="27"/>
  <c r="F87" i="27" s="1"/>
  <c r="D86" i="27"/>
  <c r="F86" i="27" s="1"/>
  <c r="D83" i="27" l="1"/>
  <c r="F83" i="27" s="1"/>
  <c r="D82" i="27"/>
  <c r="F82" i="27" s="1"/>
  <c r="D81" i="27"/>
  <c r="F81" i="27" s="1"/>
  <c r="D78" i="27"/>
  <c r="D77" i="27"/>
  <c r="D76" i="27"/>
  <c r="D73" i="27"/>
  <c r="F73" i="27" s="1"/>
  <c r="D25" i="27"/>
  <c r="F25" i="27" s="1"/>
  <c r="D23" i="27"/>
  <c r="F23" i="27" s="1"/>
  <c r="D71" i="27"/>
  <c r="F71" i="27" s="1"/>
  <c r="D69" i="27"/>
  <c r="F69" i="27"/>
  <c r="D67" i="27"/>
  <c r="D65" i="27"/>
  <c r="F65" i="27" s="1"/>
  <c r="D63" i="27"/>
  <c r="F63" i="27"/>
  <c r="D61" i="27"/>
  <c r="D57" i="27"/>
  <c r="D59" i="27"/>
  <c r="D53" i="27"/>
  <c r="D55" i="27"/>
  <c r="D51" i="27"/>
  <c r="F51" i="27" s="1"/>
  <c r="D49" i="27"/>
  <c r="F49" i="27" s="1"/>
  <c r="D47" i="27"/>
  <c r="F47" i="27" s="1"/>
  <c r="D37" i="27"/>
  <c r="D31" i="27"/>
  <c r="F31" i="27" s="1"/>
  <c r="D45" i="27"/>
  <c r="D43" i="27"/>
  <c r="D41" i="27"/>
  <c r="F41" i="27" s="1"/>
  <c r="D39" i="27"/>
  <c r="D35" i="27"/>
  <c r="D33" i="27"/>
  <c r="D27" i="27"/>
  <c r="F27" i="27" s="1"/>
  <c r="D29" i="27"/>
  <c r="F29" i="27" s="1"/>
  <c r="D21" i="27"/>
  <c r="F21" i="27" s="1"/>
  <c r="D19" i="27"/>
  <c r="D17" i="27"/>
  <c r="F17" i="27" s="1"/>
  <c r="D15" i="27"/>
  <c r="D13" i="27"/>
  <c r="D11" i="27"/>
  <c r="D9" i="27"/>
  <c r="F9" i="27" s="1"/>
  <c r="D7" i="27"/>
  <c r="D84" i="26" l="1"/>
  <c r="D85" i="26"/>
  <c r="F85" i="26" s="1"/>
  <c r="D86" i="26"/>
  <c r="D71" i="26" l="1"/>
  <c r="F71" i="26"/>
  <c r="D69" i="26"/>
  <c r="F69" i="26"/>
  <c r="D61" i="26" l="1"/>
  <c r="D67" i="26"/>
  <c r="F67" i="26" s="1"/>
  <c r="D65" i="26"/>
  <c r="F65" i="26" s="1"/>
  <c r="D51" i="26"/>
  <c r="F51" i="26"/>
  <c r="F61" i="26"/>
  <c r="D59" i="26"/>
  <c r="D53" i="26"/>
  <c r="D49" i="26"/>
  <c r="F53" i="26"/>
  <c r="F59" i="26"/>
  <c r="D55" i="26" l="1"/>
  <c r="F55" i="26" s="1"/>
  <c r="F63" i="26"/>
  <c r="D57" i="26"/>
  <c r="F57" i="26" s="1"/>
  <c r="D43" i="26"/>
  <c r="D45" i="26"/>
  <c r="D47" i="26"/>
  <c r="D41" i="26"/>
  <c r="F41" i="26" s="1"/>
  <c r="D9" i="26"/>
  <c r="D39" i="26"/>
  <c r="D37" i="26"/>
  <c r="D35" i="26"/>
  <c r="D33" i="26"/>
  <c r="D31" i="26"/>
  <c r="F31" i="26" s="1"/>
  <c r="D29" i="26"/>
  <c r="D27" i="26"/>
  <c r="F27" i="26" s="1"/>
  <c r="D25" i="26"/>
  <c r="D23" i="26"/>
  <c r="F23" i="26"/>
  <c r="D21" i="26"/>
  <c r="D13" i="26"/>
  <c r="D19" i="26"/>
  <c r="D15" i="26"/>
  <c r="F15" i="26"/>
  <c r="D17" i="26"/>
  <c r="D11" i="26"/>
  <c r="D7" i="26"/>
  <c r="D12" i="49"/>
  <c r="F12" i="49" s="1"/>
  <c r="D14" i="49"/>
  <c r="F14" i="49" s="1"/>
  <c r="F48" i="49"/>
  <c r="F46" i="49"/>
  <c r="F50" i="49"/>
  <c r="F54" i="49"/>
  <c r="F52" i="49"/>
  <c r="D44" i="49"/>
  <c r="F44" i="49"/>
  <c r="F42" i="49"/>
  <c r="F40" i="49"/>
  <c r="D34" i="49"/>
  <c r="F34" i="49" s="1"/>
  <c r="D36" i="49"/>
  <c r="D32" i="49"/>
  <c r="F32" i="49" s="1"/>
  <c r="F38" i="49"/>
  <c r="F36" i="49"/>
  <c r="F30" i="49"/>
  <c r="F22" i="49"/>
  <c r="D28" i="49"/>
  <c r="D26" i="49"/>
  <c r="F26" i="49" s="1"/>
  <c r="F28" i="49"/>
  <c r="F24" i="49"/>
  <c r="F20" i="49"/>
  <c r="D18" i="49"/>
  <c r="F18" i="49"/>
  <c r="D16" i="49"/>
  <c r="F16" i="49"/>
  <c r="F10" i="49"/>
  <c r="D56" i="49" l="1"/>
  <c r="F56" i="49" s="1"/>
  <c r="D79" i="26"/>
  <c r="F79" i="26" s="1"/>
  <c r="F10" i="50" l="1"/>
  <c r="F86" i="26"/>
  <c r="F24" i="30" l="1"/>
  <c r="F22" i="30"/>
  <c r="F13" i="30" l="1"/>
  <c r="F43" i="32" l="1"/>
  <c r="F17" i="50" l="1"/>
  <c r="F8" i="49" l="1"/>
  <c r="F6" i="49"/>
  <c r="F59" i="49" s="1"/>
  <c r="F7" i="40" s="1"/>
  <c r="F45" i="27" l="1"/>
  <c r="F17" i="35" l="1"/>
  <c r="F9" i="51" l="1"/>
  <c r="F13" i="33"/>
  <c r="F12" i="51" l="1"/>
  <c r="F13" i="31" s="1"/>
  <c r="F63" i="29"/>
  <c r="F35" i="32"/>
  <c r="A7" i="29" l="1"/>
  <c r="F71" i="29"/>
  <c r="F67" i="29"/>
  <c r="F39" i="29"/>
  <c r="F29" i="29"/>
  <c r="A7" i="27"/>
  <c r="F113" i="27"/>
  <c r="F61" i="27"/>
  <c r="F59" i="27"/>
  <c r="F43" i="27"/>
  <c r="F55" i="27"/>
  <c r="F57" i="27"/>
  <c r="F53" i="27"/>
  <c r="F37" i="27"/>
  <c r="F39" i="27"/>
  <c r="F33" i="27"/>
  <c r="F15" i="27"/>
  <c r="A7" i="26"/>
  <c r="F49" i="26"/>
  <c r="F33" i="26"/>
  <c r="F47" i="26"/>
  <c r="F37" i="26"/>
  <c r="F45" i="26"/>
  <c r="F39" i="26"/>
  <c r="F19" i="26"/>
  <c r="F17" i="26"/>
  <c r="F13" i="26"/>
  <c r="A9" i="27" l="1"/>
  <c r="A9" i="29"/>
  <c r="A9" i="26"/>
  <c r="A11" i="26"/>
  <c r="A11" i="29" l="1"/>
  <c r="A11" i="27"/>
  <c r="A13" i="26"/>
  <c r="A13" i="29" l="1"/>
  <c r="A15" i="29" s="1"/>
  <c r="A17" i="29" s="1"/>
  <c r="A13" i="27"/>
  <c r="A15" i="27"/>
  <c r="A17" i="27"/>
  <c r="A15" i="26"/>
  <c r="F11" i="27"/>
  <c r="A17" i="26" l="1"/>
  <c r="A19" i="26" s="1"/>
  <c r="A21" i="26" s="1"/>
  <c r="A23" i="26" s="1"/>
  <c r="A19" i="29"/>
  <c r="A19" i="27"/>
  <c r="A21" i="27"/>
  <c r="A23" i="27" l="1"/>
  <c r="A25" i="26"/>
  <c r="F28" i="30"/>
  <c r="A21" i="29" l="1"/>
  <c r="A23" i="29" s="1"/>
  <c r="A25" i="27"/>
  <c r="A27" i="27" s="1"/>
  <c r="A29" i="27" s="1"/>
  <c r="A31" i="27" s="1"/>
  <c r="A33" i="27" s="1"/>
  <c r="A35" i="27" s="1"/>
  <c r="A27" i="26"/>
  <c r="A29" i="26"/>
  <c r="A31" i="26" s="1"/>
  <c r="A33" i="26" s="1"/>
  <c r="A25" i="29" l="1"/>
  <c r="A37" i="27"/>
  <c r="A39" i="27" s="1"/>
  <c r="A41" i="27" s="1"/>
  <c r="A43" i="27" s="1"/>
  <c r="A45" i="27" s="1"/>
  <c r="A47" i="27" s="1"/>
  <c r="A49" i="27" s="1"/>
  <c r="A51" i="27" s="1"/>
  <c r="A53" i="27" s="1"/>
  <c r="A55" i="27" s="1"/>
  <c r="A57" i="27" s="1"/>
  <c r="A59" i="27" s="1"/>
  <c r="A61" i="27" s="1"/>
  <c r="A63" i="27" s="1"/>
  <c r="A35" i="26"/>
  <c r="F35" i="29"/>
  <c r="F19" i="27"/>
  <c r="F11" i="26"/>
  <c r="F18" i="37"/>
  <c r="A27" i="29" l="1"/>
  <c r="A29" i="29" s="1"/>
  <c r="A31" i="29" s="1"/>
  <c r="A33" i="29" s="1"/>
  <c r="A35" i="29" s="1"/>
  <c r="A37" i="29" s="1"/>
  <c r="A39" i="29" s="1"/>
  <c r="A41" i="29" s="1"/>
  <c r="A65" i="27"/>
  <c r="A67" i="27" s="1"/>
  <c r="A69" i="27" s="1"/>
  <c r="A71" i="27" s="1"/>
  <c r="A73" i="27" s="1"/>
  <c r="A75" i="27" s="1"/>
  <c r="A80" i="27" s="1"/>
  <c r="A85" i="27" s="1"/>
  <c r="A89" i="27" s="1"/>
  <c r="A95" i="27" s="1"/>
  <c r="A37" i="26"/>
  <c r="A39" i="26" s="1"/>
  <c r="F12" i="50"/>
  <c r="F11" i="50"/>
  <c r="F9" i="50"/>
  <c r="F8" i="50"/>
  <c r="A45" i="29" l="1"/>
  <c r="A49" i="29" s="1"/>
  <c r="A109" i="27"/>
  <c r="A111" i="27" s="1"/>
  <c r="A113" i="27" s="1"/>
  <c r="A41" i="26"/>
  <c r="A43" i="26" s="1"/>
  <c r="A51" i="29" l="1"/>
  <c r="A53" i="29" s="1"/>
  <c r="A55" i="29" s="1"/>
  <c r="A57" i="29" s="1"/>
  <c r="A60" i="29" s="1"/>
  <c r="A63" i="29" s="1"/>
  <c r="A65" i="29" s="1"/>
  <c r="A69" i="29" s="1"/>
  <c r="A79" i="29" s="1"/>
  <c r="A81" i="29" s="1"/>
  <c r="A85" i="29" s="1"/>
  <c r="A89" i="29" s="1"/>
  <c r="A91" i="29" s="1"/>
  <c r="A93" i="29" s="1"/>
  <c r="A95" i="29" s="1"/>
  <c r="A97" i="29" s="1"/>
  <c r="A99" i="29" s="1"/>
  <c r="A101" i="29" s="1"/>
  <c r="A103" i="29" s="1"/>
  <c r="A45" i="26"/>
  <c r="F22" i="35"/>
  <c r="F78" i="27"/>
  <c r="F21" i="26"/>
  <c r="A47" i="26" l="1"/>
  <c r="A49" i="26" s="1"/>
  <c r="A51" i="26" s="1"/>
  <c r="A53" i="26" s="1"/>
  <c r="F20" i="37"/>
  <c r="A55" i="26" l="1"/>
  <c r="A57" i="26" s="1"/>
  <c r="F79" i="29"/>
  <c r="F37" i="29"/>
  <c r="F27" i="29"/>
  <c r="A59" i="26" l="1"/>
  <c r="A61" i="26" s="1"/>
  <c r="F7" i="25"/>
  <c r="A63" i="26" l="1"/>
  <c r="A65" i="26"/>
  <c r="A67" i="26" s="1"/>
  <c r="F9" i="25"/>
  <c r="A69" i="26" l="1"/>
  <c r="A71" i="26"/>
  <c r="A73" i="26" s="1"/>
  <c r="A75" i="26" s="1"/>
  <c r="A77" i="26" s="1"/>
  <c r="A79" i="26" s="1"/>
  <c r="A81" i="26" s="1"/>
  <c r="A83" i="26" s="1"/>
  <c r="F14" i="25"/>
  <c r="F7" i="33"/>
  <c r="F42" i="33" l="1"/>
  <c r="F11" i="31" s="1"/>
  <c r="F9" i="37"/>
  <c r="F8" i="37"/>
  <c r="F7" i="37"/>
  <c r="F59" i="41"/>
  <c r="F19" i="37"/>
  <c r="F45" i="41"/>
  <c r="F78" i="41" s="1"/>
  <c r="F14" i="42" l="1"/>
  <c r="F13" i="42"/>
  <c r="F12" i="42"/>
  <c r="F11" i="42"/>
  <c r="F10" i="42"/>
  <c r="F9" i="42"/>
  <c r="F8" i="42"/>
  <c r="F23" i="31" l="1"/>
  <c r="F27" i="32"/>
  <c r="F23" i="32"/>
  <c r="F41" i="32"/>
  <c r="F31" i="32"/>
  <c r="F29" i="32"/>
  <c r="F25" i="32"/>
  <c r="F21" i="32"/>
  <c r="F11" i="32"/>
  <c r="F7" i="32"/>
  <c r="F90" i="32" l="1"/>
  <c r="F7" i="31" s="1"/>
  <c r="F72" i="29"/>
  <c r="F70" i="29"/>
  <c r="F66" i="29"/>
  <c r="F17" i="29" l="1"/>
  <c r="F35" i="27" l="1"/>
  <c r="A6" i="49"/>
  <c r="A8" i="49" l="1"/>
  <c r="A10" i="49"/>
  <c r="F31" i="31"/>
  <c r="F19" i="35"/>
  <c r="F67" i="50"/>
  <c r="F35" i="30"/>
  <c r="F8" i="30"/>
  <c r="F38" i="30" s="1"/>
  <c r="A12" i="49" l="1"/>
  <c r="F15" i="31"/>
  <c r="F17" i="40"/>
  <c r="F9" i="29"/>
  <c r="A14" i="49" l="1"/>
  <c r="F21" i="29"/>
  <c r="F77" i="27"/>
  <c r="F76" i="27"/>
  <c r="F67" i="27"/>
  <c r="A16" i="49" l="1"/>
  <c r="A18" i="49" s="1"/>
  <c r="F29" i="26"/>
  <c r="F35" i="26"/>
  <c r="F25" i="26"/>
  <c r="A20" i="49" l="1"/>
  <c r="A22" i="49"/>
  <c r="A24" i="49" s="1"/>
  <c r="F28" i="35"/>
  <c r="F30" i="35"/>
  <c r="A26" i="49" l="1"/>
  <c r="A28" i="49" s="1"/>
  <c r="A30" i="49"/>
  <c r="A32" i="49" s="1"/>
  <c r="A34" i="49" s="1"/>
  <c r="A36" i="49" s="1"/>
  <c r="A38" i="49" s="1"/>
  <c r="A40" i="49" s="1"/>
  <c r="A42" i="49" s="1"/>
  <c r="A44" i="49" s="1"/>
  <c r="A46" i="49" s="1"/>
  <c r="A48" i="49" s="1"/>
  <c r="A50" i="49" s="1"/>
  <c r="A52" i="49" s="1"/>
  <c r="A54" i="49" s="1"/>
  <c r="A56" i="49" s="1"/>
  <c r="F111" i="27"/>
  <c r="F8" i="48" l="1"/>
  <c r="F13" i="27" l="1"/>
  <c r="F9" i="26"/>
  <c r="F93" i="29" l="1"/>
  <c r="D7" i="46" l="1"/>
  <c r="F9" i="46" l="1"/>
  <c r="F7" i="46"/>
  <c r="F12" i="46" l="1"/>
  <c r="F17" i="42" l="1"/>
  <c r="F58" i="29" l="1"/>
  <c r="F26" i="37" l="1"/>
  <c r="F25" i="31" s="1"/>
  <c r="F25" i="48"/>
  <c r="F21" i="31" s="1"/>
  <c r="F16" i="35"/>
  <c r="F101" i="29" l="1"/>
  <c r="F49" i="29" l="1"/>
  <c r="F43" i="26" l="1"/>
  <c r="F8" i="35" l="1"/>
  <c r="F37" i="35" s="1"/>
  <c r="F105" i="29"/>
  <c r="F104" i="29"/>
  <c r="F106" i="29" s="1"/>
  <c r="F7" i="27"/>
  <c r="F84" i="26"/>
  <c r="F81" i="26"/>
  <c r="F7" i="26"/>
  <c r="F109" i="29" l="1"/>
  <c r="F89" i="26"/>
  <c r="F11" i="40" s="1"/>
  <c r="F9" i="40" l="1"/>
  <c r="F116" i="27"/>
  <c r="F13" i="40" s="1"/>
  <c r="F19" i="31"/>
  <c r="F34" i="31" l="1"/>
  <c r="F15" i="45" s="1"/>
  <c r="F15" i="40"/>
  <c r="F20" i="40" l="1"/>
  <c r="F13" i="45" s="1"/>
  <c r="F17" i="45" s="1"/>
  <c r="F31" i="6"/>
  <c r="F21" i="7"/>
  <c r="F20" i="7"/>
  <c r="F19" i="7"/>
  <c r="F20" i="45" l="1"/>
  <c r="F22" i="45" s="1"/>
  <c r="F24" i="45" s="1"/>
  <c r="D11" i="6"/>
  <c r="F29" i="6"/>
  <c r="F27" i="6"/>
  <c r="F25" i="6"/>
  <c r="F21" i="6"/>
  <c r="F19" i="6"/>
  <c r="F17" i="6"/>
  <c r="F15" i="6"/>
  <c r="F7" i="19" l="1"/>
  <c r="F9" i="19"/>
  <c r="F11" i="19"/>
  <c r="F13" i="19"/>
  <c r="F15" i="19"/>
  <c r="F17" i="19"/>
  <c r="F19" i="19"/>
  <c r="F21" i="19"/>
  <c r="F23" i="19"/>
  <c r="F25" i="19"/>
  <c r="F27" i="19"/>
  <c r="F29" i="19"/>
  <c r="F31" i="19"/>
  <c r="F33" i="19"/>
  <c r="F35" i="19"/>
  <c r="F37" i="19"/>
  <c r="F41" i="19"/>
  <c r="F43" i="19"/>
  <c r="F45" i="19"/>
  <c r="F47" i="19"/>
  <c r="F49" i="19"/>
  <c r="F51" i="19"/>
  <c r="F53" i="19"/>
  <c r="F5" i="19"/>
  <c r="F7" i="20"/>
  <c r="F9" i="20"/>
  <c r="F11" i="20"/>
  <c r="F5" i="20"/>
  <c r="F15" i="4"/>
  <c r="F9" i="4"/>
  <c r="F11" i="4"/>
  <c r="F13" i="4"/>
  <c r="F7" i="24"/>
  <c r="F9" i="24"/>
  <c r="F11" i="24"/>
  <c r="F13" i="24"/>
  <c r="F15" i="24"/>
  <c r="F5" i="24"/>
  <c r="F9" i="23"/>
  <c r="F11" i="23"/>
  <c r="F13" i="23"/>
  <c r="F15" i="23"/>
  <c r="F17" i="23"/>
  <c r="F19" i="23"/>
  <c r="F21" i="23"/>
  <c r="F7" i="23"/>
  <c r="F11" i="22"/>
  <c r="F13" i="22"/>
  <c r="F15" i="22"/>
  <c r="F17" i="22"/>
  <c r="F19" i="22"/>
  <c r="F23" i="22"/>
  <c r="F25" i="22"/>
  <c r="F9" i="22"/>
  <c r="F11" i="11"/>
  <c r="F13" i="11"/>
  <c r="F15" i="11"/>
  <c r="F17" i="11"/>
  <c r="F21" i="11"/>
  <c r="F23" i="11"/>
  <c r="F25" i="11"/>
  <c r="F27" i="11"/>
  <c r="F29" i="11"/>
  <c r="F31" i="11"/>
  <c r="F33" i="11"/>
  <c r="F37" i="11"/>
  <c r="F39" i="11"/>
  <c r="F9" i="11"/>
  <c r="F11" i="10"/>
  <c r="F13" i="10"/>
  <c r="F15" i="10"/>
  <c r="F17" i="10"/>
  <c r="F19" i="10"/>
  <c r="F21" i="10"/>
  <c r="F23" i="10"/>
  <c r="F25" i="10"/>
  <c r="F27" i="10"/>
  <c r="F7" i="10"/>
  <c r="F21" i="9"/>
  <c r="F9" i="7"/>
  <c r="F11" i="7"/>
  <c r="F13" i="7"/>
  <c r="F15" i="7"/>
  <c r="F23" i="7"/>
  <c r="F7" i="7"/>
  <c r="F9" i="6"/>
  <c r="F11" i="6"/>
  <c r="F7" i="6"/>
  <c r="F28" i="22" l="1"/>
  <c r="D16" i="18" s="1"/>
  <c r="F30" i="10"/>
  <c r="F26" i="7"/>
  <c r="F56" i="19"/>
  <c r="D26" i="18" s="1"/>
  <c r="F18" i="24"/>
  <c r="D20" i="18" s="1"/>
  <c r="F24" i="23"/>
  <c r="D18" i="18" s="1"/>
  <c r="F14" i="20" l="1"/>
  <c r="D24" i="18" s="1"/>
  <c r="D12" i="18" l="1"/>
  <c r="F23" i="9"/>
  <c r="F19" i="9"/>
  <c r="F17" i="9"/>
  <c r="F15" i="9"/>
  <c r="F13" i="9"/>
  <c r="F11" i="9"/>
  <c r="F9" i="9"/>
  <c r="F7" i="9"/>
  <c r="F26" i="9" l="1"/>
  <c r="D10" i="18" s="1"/>
  <c r="F42" i="11"/>
  <c r="D14" i="18" s="1"/>
  <c r="F34" i="6"/>
  <c r="F7" i="4"/>
  <c r="F18" i="4" l="1"/>
  <c r="D22" i="18" s="1"/>
  <c r="A5" i="39"/>
  <c r="A7" i="39"/>
</calcChain>
</file>

<file path=xl/sharedStrings.xml><?xml version="1.0" encoding="utf-8"?>
<sst xmlns="http://schemas.openxmlformats.org/spreadsheetml/2006/main" count="2036" uniqueCount="816">
  <si>
    <t>Opis postavke</t>
  </si>
  <si>
    <t>Količina</t>
  </si>
  <si>
    <t>Cena za
enoto</t>
  </si>
  <si>
    <t>Enota
mere</t>
  </si>
  <si>
    <t>m2</t>
  </si>
  <si>
    <t>m3</t>
  </si>
  <si>
    <t>m1</t>
  </si>
  <si>
    <t>kg</t>
  </si>
  <si>
    <t>kom</t>
  </si>
  <si>
    <t>GRADBENA DELA</t>
  </si>
  <si>
    <t>kpl</t>
  </si>
  <si>
    <t>1.</t>
  </si>
  <si>
    <t>2.</t>
  </si>
  <si>
    <t>3.</t>
  </si>
  <si>
    <t>Skupaj brez DDV:</t>
  </si>
  <si>
    <t>A.</t>
  </si>
  <si>
    <t>I.</t>
  </si>
  <si>
    <t>II.</t>
  </si>
  <si>
    <t>III.</t>
  </si>
  <si>
    <t>IV.</t>
  </si>
  <si>
    <t>Zidarska dela</t>
  </si>
  <si>
    <t>V.</t>
  </si>
  <si>
    <t>Tesarska dela</t>
  </si>
  <si>
    <t>B.</t>
  </si>
  <si>
    <t>OBRTNIŠKA DELA</t>
  </si>
  <si>
    <t>Krovsko kleparska dela</t>
  </si>
  <si>
    <t>Razna obrtniška dela</t>
  </si>
  <si>
    <t>Alu in steklarska dela</t>
  </si>
  <si>
    <t>Mizarska dela</t>
  </si>
  <si>
    <t>VI.</t>
  </si>
  <si>
    <t>Keramičarska dela</t>
  </si>
  <si>
    <t>VII.</t>
  </si>
  <si>
    <t>Fasaderska dela</t>
  </si>
  <si>
    <t>VIII.</t>
  </si>
  <si>
    <t>Slikopleskarska dela</t>
  </si>
  <si>
    <t>IX.</t>
  </si>
  <si>
    <t>Post.</t>
  </si>
  <si>
    <t>4.</t>
  </si>
  <si>
    <t>5.</t>
  </si>
  <si>
    <t>6.</t>
  </si>
  <si>
    <t>7.</t>
  </si>
  <si>
    <t>8.</t>
  </si>
  <si>
    <t>9.</t>
  </si>
  <si>
    <t>10.</t>
  </si>
  <si>
    <t>3.a</t>
  </si>
  <si>
    <t>11.</t>
  </si>
  <si>
    <t>12.</t>
  </si>
  <si>
    <t>13.</t>
  </si>
  <si>
    <t>14.</t>
  </si>
  <si>
    <t>15.</t>
  </si>
  <si>
    <t>16.</t>
  </si>
  <si>
    <t>17.</t>
  </si>
  <si>
    <t>18.</t>
  </si>
  <si>
    <t>19.</t>
  </si>
  <si>
    <t>20.</t>
  </si>
  <si>
    <t>21.</t>
  </si>
  <si>
    <t>22.</t>
  </si>
  <si>
    <t>Ključavničarska dela</t>
  </si>
  <si>
    <t>a) velikost 100 x 70 cm.</t>
  </si>
  <si>
    <t>b) velikost 120 x 100 cm.</t>
  </si>
  <si>
    <t>a) velikost 140/80 cm.</t>
  </si>
  <si>
    <t>b) velikost 85/100 cm.</t>
  </si>
  <si>
    <t>Predelne stene in spuščeni stropi</t>
  </si>
  <si>
    <t>Predelne stene in spuščeni stropovi</t>
  </si>
  <si>
    <t>a) ABC 6 kg</t>
  </si>
  <si>
    <t>b) aparati CO2</t>
  </si>
  <si>
    <t>Dobava in montaža PVC talnih sifonov.</t>
  </si>
  <si>
    <t>Dobava in montaža košev za smeti.</t>
  </si>
  <si>
    <t>Dobava in montaža sušilcev za roke.</t>
  </si>
  <si>
    <t>Dobava metlice za stranišno školjko.</t>
  </si>
  <si>
    <t>a) velikost 325/245 cm. ( štirikrilna)</t>
  </si>
  <si>
    <t>b) velikost 345/245 cm. ( štirikrilna)</t>
  </si>
  <si>
    <t>eur</t>
  </si>
  <si>
    <t>Izdelava prevleke s fino cementno malto debeline 1 cm, kot podlaga horizontalni hidroizolaciji.</t>
  </si>
  <si>
    <t xml:space="preserve">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</si>
  <si>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Dobava in pokrivanje strehe v sestavi S2:
- prani prodec granulacije 16-32 mm, debeline 6 cm
- PES filc 200 g/m2
- ekstrudirani polistiren ( SIST EN 13164) debeline 10 cm, plošce s stopnicastimi preklopi ( spec. gostota min. 35 kg/m3)
- dvoslojna polimer bitumenska hidroizoalcija npr. SCUDOPLUS 4. Dva sloja ( ali enakovredno).
- hladni bitumenski premaz, 0,30 kg/m2.</t>
  </si>
  <si>
    <t>Izdelava, dobava in montaža okroglih odtocnih cevi fi 80 mm iz jeklene pocinkane barvane plocevine debeline 0,60nmm. Cevi ogrevane.</t>
  </si>
  <si>
    <t>Izdelava, dobava in montaža dvojnih odtocnih kotlickov za odtok z ravne strehe, iz inoks plocevine in zašcitno košarico proti listju. Prikljucek na vertikalno cev fi 80 mm. Ogrevani.</t>
  </si>
  <si>
    <t>Izdelava in montaža obrobe venca na
strehi v sestavi:
- alu prašno barvana plocevina debeline 2 mm, v RAL 7016 ( tigr barva), razvite širine 60 cm
- tockovna podkonstrukcija vijacena v OSB plošce
- enoslojna polimer - bitumenska hidroizolacija varjena na OSB plošce
- vlagoodporne OSB plošce debeline 2 cm, pritrjene v beton. Izdelava po dedtajlu " Fasadni pas 1".</t>
  </si>
  <si>
    <t>Izdelava vertikalnega zakljucka z notranje strani strehe v sestavi:
- ekstrudirani polistiren debeline 5 cm, višine 13 cm, lepljen na beton
- obroba iz alu prašno barvane plocevone debeline 1 mm, RAL 7016 ( tigr barva ) razvite širine 15 cm.</t>
  </si>
  <si>
    <t>Izdelava in montaža krivljene alu barvane plocevine debeline 3 mm, razvite dolžine 23 cm, RAL 7016 ( tigr barva) montirana preko alu omega nosilcev v AB venec. Izdelava po detajlu " Fasadni pas 1".</t>
  </si>
  <si>
    <t>Izdelava in montaža krivljene alu barvane plocevine debeline 1 mm, razvite dolžine 38 cm, vijacena v zidano steno. Barva RAL 7016 ( tiger barva ). Izdelava po detajlu " Fasadni pas 1".</t>
  </si>
  <si>
    <t>Izdelava in montaža obrob ventilacij z barvano alu plocevino debeline 1 mm, razvite širine do 50 cm.</t>
  </si>
  <si>
    <t>Razna manjša in nepredvidena krovsko kleparska dela. Obracun po potrditvi nadzornega organa. Ocena 3 % vrednosti del.</t>
  </si>
  <si>
    <t xml:space="preserve">SPLOŠNI OPIS
Vsi elementi jeklene konstrukcije morajo biti izdelani strokovno in kvalitetno, ter iz materiala in dimenzij, kot je navedeno v analizi konstrukcije. Vsi elementi morajo biti izvedeni in vgrajeni tehnicno pravilno in po pravilih stroke. Sidranje elementov jeklene konstrukcije v nosilno konstrukcijo objekta je potrebno izvesti z elementi in na nacin, kot je navedeno v analizi konstrukcije. Kvaliteta jekla je S 235 JR. Po koncani montaži na objektu, pred izdelavo finalne površinske obdelave, je na jeklenih konstrukcijah, ki so v koncni obdelavi vidne, vse zvare prebrusiti gladko in ravno do površine profila. Jeklena konstrukcija je zašcitena proti koroziji, vrsta zašcite je odvisna od nacina, ki je predpisan, ter od zahtev projektanta, oziroma investitorja, vendar mora postopek priprave jeklene konstrukcije za AK zašcito upoštevati: Cišcenje vseh površin s peskanjem obdelave Sa 2.5 po SIS 055900/1967 in odpraševanje, temeljna barva debeline minimalno 2 x 30 mikronov kot osnovni antikorozivni premaz izveden v delavnici dvema nanosoma pokrivne barve v debelini 2 x 30 mikronov. Izvedba in sistem AKZ mora ustrezati pravilniku o tehnicnih merah in pogojih za zašcito kovinskih konstrukcij pred korozijo - U.L. SFRJ štev. 32/70 ali ustreznemu DIN standardu, ter SIST EN ISO 12944. Projektno dokumentacijo PZI, in PID ( z delavniškimi nacrti) mora izdelati izvajalec jeklene konstrukcije po staticnem izracunu PGD faze. PZI nacrte z delavniškimi nacrti morata pregledati in s podpisom potrditi projektant gradbenih konstrukcij in arhitekt.
ENOTNA CENA MORA VSEBOVATI:
- Merjenje na objektu
- Izdelava PZI, PID in delavniške dokumentacije
- Izdelava vseh izracunov vezanih na izdelavo elementov, potrebnih za doseganje predpisanih zahtev
- Preizkušanje posameznih elementov in dokazovanje kvalitete z atesti
- Ves potreben glavni, pomožni, pritrdilni in vezni material
- Izdelava vseh potrebnih zakljuckov
- Izdelava elementov v obratu in montaža na objektu
- Vse potrebne transporte do mesta vgradnje
- Skladišcenje materiala na gradbišcu
-Vsa potrebna pomožna stredstva za vgrajevanje na objektu, kot so lestve, delovni in pomožni odri, dvigalna tehnika ( avtodvigalo) in podobno
- Usklajevanje z osnovnim nacrtom in posvetovanje s projektantom
- Terminsko usklajevanje z ostalimi izvajalci na objektu
- Finalna obdelava po opisu
- Popravilo eventuelne škode povzrocene ostalim izvajalcem na objektu
- Cišcenje in odvoz odpadnega materiala na stalno deponijo
- Placilo komunalne takse za stalno deponijo odpadnega materiala
- Vsa potrebna higijensko tehnicna preventivna zašcita delavcev na gradbišcu.
</t>
  </si>
  <si>
    <t>Izdelava, dobava in montaža kovinskih stebrov preseka 100/100/5 mm, finalno pleskani. Stebri višine 300 cm.</t>
  </si>
  <si>
    <t>Izdelava in dobava algum predpražnikov, kompletno z alu okvirjem. ( npr EMCO ali enakovredno).</t>
  </si>
  <si>
    <t>Izdelava, dobava in montaža horizontalnih povezav med jeklenimi stebri s kovinskimi profili 80/50/5 mm, varjeni na jeklene stebricke 50/80/5 mm. Finalno pleskani.</t>
  </si>
  <si>
    <t>Izdelava in montaža okvirjev iz krivljene alu prašno barvane plocevine debeline 6 mm, barva RAL 7016 ( tigr barva), širine 30 cm. Velikost 451 x 204 cm.</t>
  </si>
  <si>
    <t>Izdelava, dobava in montaža odkapnih profilov iz krivljene alu barvane plocevine 25/250/3 mm, vijacena v zid.</t>
  </si>
  <si>
    <t>Izdelava, dobava in montaža alu kotnika dimenzije 150/200/6 mm, kot zakljucek tlaka - prag, vijacen v temelj. Vijaki z ugreznjenimi glavami. Glej "Fasadni pas 2".</t>
  </si>
  <si>
    <t>Razni manjši kovinski izdelki, vroce cinkani in finalno pleskani. Ocena.</t>
  </si>
  <si>
    <t>Izdelava, dobava in montaža policke krivljene alu barvane plocevine debeline 5 mm, RAL 7016 ( tigr barva), vijacena v jeklen profil 50 x 50 x 5 mm. Policka velikosti 50 x 25 + 50 x 5 cm. Izdelava po detajlu " Fasadni pas 3 ".</t>
  </si>
  <si>
    <t>Izdelava in montaža zakljucnega alu barvanega kotnika veliksoti 60 x 60 x 4 mm, vijacenega v podložni beton.</t>
  </si>
  <si>
    <t xml:space="preserve">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
</t>
  </si>
  <si>
    <t>Izdelava, dobava in montaža oken izdelanih iz alu prašno barvanih profilov, s prekinjenim toplotnim mostom ( kot naprimer SCHUECO AWS60), barva RAL 7016 ( tigr barva). Zasteklitev dvoslojno termopan steklo U = 1.1W/m2K, steklo brez efekta refleksa. Kljuka in mehanizem v mat inoks ali alu izvedbi, po izboru projektanta. Zunanja okenska polica izvedena kot okvir okrog celega okna, izdelana iz krivljene alu barvane plocevine. Barva RAL 7016 ( tiger barva). Notranja polica debeline 2 cm iz umetne mase. Vse izdelano po shemah projektanta. Glej " Fasadni pas 1". Upoštevane zidarske mere.</t>
  </si>
  <si>
    <t>a) okno velikosti 106/60 cm, odpiranje na ventus. Oznaka sheme 01.</t>
  </si>
  <si>
    <t>b) okno velikosti 119/60 cm, kombinirano odpiranje. Oznaka sheme 02.</t>
  </si>
  <si>
    <t>c) dvokrilno okno skupne veliksoti 220/60 cm, obe krili kombinirano odpiranje. Oznaka sheme 03.</t>
  </si>
  <si>
    <t>e) dvokrilno okno skupne velikosti 225/203,5 cm, krilo velikosti 103/203,5 cm, drsno odpiranje, drugo fiksno. Na notranji strani vgrajene alu žaluzije. Steklo kaljeno, protivlomno, alu profili tip ASS50. Oznaka sheme 05.</t>
  </si>
  <si>
    <t>d) dvokrilno okno skupne velikosti 246/60 cm, obe krili kombinirano odpiranje. Oznaka sheme 04.</t>
  </si>
  <si>
    <t>Izdelava, dobava in montaža vrat. Podboj alu, barvan v RAL. Krilo alu, barvano v RAL, izdelano brez vidnega okvirja na zunanji strani, na zunanji strani sega cez okvir. V spodnjem delu krila vgrajena prezracevalna rešetka po detajlu. Vrata opremljena z varnostno kljucavnico, kljuko in mehanizmom v mat krom izvedbi, tesnili, blažilnikom in vzmetnim zapiralom. V ceni upoštevati vso podkonstrukcijo za montažo vrat. Upoštevane zidarske mere.</t>
  </si>
  <si>
    <t>a) vrata velikosti 90/220 cm. Oznaka sheme V01.</t>
  </si>
  <si>
    <t>b) vrata veliksoti 90/257 cm. Oznaka sheme V02.</t>
  </si>
  <si>
    <t xml:space="preserve">c) vrata velikosti 100/253 cm ( zunanja), krilo na notranji in zunanji strani v celoti prekrito s fasadno alu plocevino, barva RAL 7016 ( tigr barva), tako da okvir krila ni viden. Vrata so poravnana z nivojem fasade. Vrata opremljena s protivlomno cilindricno kljucavnico, kljuko, tesnili in vzmetnim zapiralom. Montaža glej fasadni pa "2". V krilu vgrajena alu prezracevalna rešetka. Oznaka sheme V12.
</t>
  </si>
  <si>
    <t>d) enako kot postavka 2c., samo vrata velikosti 130/253 cm, požarno odporna EI 30. Oznaka sheme V13.</t>
  </si>
  <si>
    <t>e) enako kot postavka 2c., samo vrata velikosti 90/253 cm. Oznaka sheme V14.</t>
  </si>
  <si>
    <t>f) enako kot postavka 2 c., samo vrata velikosti 90/245 cm, brez zvocne in toplotne izolacije. Oznaka sheme V20.</t>
  </si>
  <si>
    <t>Izdelava, dobava in montaža notranjih okenskih polic iz umetne mase bele barve. Debelina 2 cm, širina 25 cm.</t>
  </si>
  <si>
    <t>Dobava in montaža ogledala na stene v sanitarijah.</t>
  </si>
  <si>
    <t>OPOMBA:
Ponudnik je dolžan pri ponudbi upoštevati vse graficne in tekstualne dele projekta. Vsi delavniški nacrti sodijo v sklop izvajalceve ponudbe in jih potrjuje odgovorni projektant arhitekture med njihovo izdelavo. Vzorce vseh finalnih materialov je ponudnik dolžan predložiti projektantu v potrditev.</t>
  </si>
  <si>
    <t>Izdelava, dobava in montaža notranjih suhomontažnih vrat. Podboj lesen, suhomontažni, belo pleskan. Krilo leseno, barvano z belo barvo. Vrata opremljena s kljucavnico, kljuko, mehanizmom za odpiranje v mat krom izvedbi, tesnili in blažilniki. Upoštevane zidarske mere</t>
  </si>
  <si>
    <t>a) vrata velikosti 100/220 cm, z vzmetnim samozapiralom, z vgrajeno alu barvano rešetko velikosti 50/10 cm, v spodnjem delu krila. Oznaka sheme V03, V04,VO5, VO6.</t>
  </si>
  <si>
    <t>b) vrata velikosti 90/220 cm, z vgrajeno alu barvano rešetko velikosti 50/10 cm, v spodnjem delu krila. Oznaka sheme V07, VO8.</t>
  </si>
  <si>
    <t>c) vrata velikosti 90/220 cm, z vgrajeno alu rešetko v spodnjem delu krila. Oznaka sheme VO9.</t>
  </si>
  <si>
    <t>d) vrata velikosti 90/215 cm. Montaža po detajlu "Fasadni pas 7." Oznaka sheme V19.</t>
  </si>
  <si>
    <t>Izdelava, dobava in montaža predelnih sten v sanitarijah laminirane z ultrapasom zelene barve npr. MAX 0725 FM ( gelbgruen) z inoks podkonstrukcijo. Oznaka sheme PS1, PS2, PS3 in PS4.</t>
  </si>
  <si>
    <t>Doplacilo za izdelavo vrat velikosti 65/200 cm, v predelnih stenah, z WC kljucavnico.</t>
  </si>
  <si>
    <t>Izdelava, dobava in montaža police za vgradni umivalnik, laminirana z ultrapasom temno sive barve, npr. MAX 0761 FN, kompletno s podkonstrukcijo iz inoks profilov in izrezi za umivalnike, ter tesnenjem in kitanjem.</t>
  </si>
  <si>
    <t>a) polica velikosti 150/39 cm, dnevni izrezi za umivalnik.</t>
  </si>
  <si>
    <t>b) polica velikosti 85/39 cm, z enim izrezom za umivalnik.</t>
  </si>
  <si>
    <t>OPOMBA:
V enotnih cenah morajo biti upoštevani vsi izrezi, zakljucki, bandažiranje in kitanje stikov plošc.</t>
  </si>
  <si>
    <t>Dobava in obloga opecnih sten v sestavi
"Z2":
- toplotna izolacija debeline 5 cm, npr. ekspandirani polistiren, lepljen na opecne stene.
- vodoodporne mavcnokartonske plošce debeline 2 x 1,25 cm, s podkonstrukcijo iz CW profilov 50 mm. Stiki plošc bandažirani in kitani.</t>
  </si>
  <si>
    <t>Izdelava predelnih sten skupne debeline 10
cm, v sestavi "Z4":
- vodoodporne gips kartonske plošce debeline 2 x 1,25 cm
- zvocna in toplotna izolacija debeline 5 cm, npr. TERVOL DP - 5 med CW profili
50 mm
- vodoodporne gips kartonske plošce debeline 2 x 1,25 cm. Stiki plošc bandažirani in kitani.</t>
  </si>
  <si>
    <t>Izdelava predelnih sten skupne debeline 20
cm (instalacijska stena) v sestavi "Z4a":
- vodoodporne gips kartonske plošce debeline 2 x 1,25 cm
- zvocna in toplotna izolacija debeline 10 + 5 cm, npr. TERVOL DP - 5, med CW profili 100 in 50 mm
- vodoodporne gips kartonske plošce debeline 2 x 1,25 cm Stiki plošc bandažirani in kitani.</t>
  </si>
  <si>
    <t>kot postavka 3., samo instalacijska stena skupne debeline 30 cm. Sestav "Z4b".</t>
  </si>
  <si>
    <t>Dobava in montaža predelnih sten skupne debeline 15 cm, v sestavi "Z6":
- vodoodporne mavcnokartonske plošce debeline 2 x 1,25 cm
- podkonstrukcija iz CW profilov 100 mm
- vodoodporne mavcnokartonske plošce debeline 2 x 1,25 cm. Stiki plošc bandažirani in kitani.</t>
  </si>
  <si>
    <t>Dobava in montaža spušcenega stropa v
sestavi "ST2":
- mineralna volna med CW profili debeline 6 cm ( nparimer TERVOL FPPT)
- AL/PE folija ( naprimer GEFITAS AL  1/30G)
- mavcnokartonske plošce debeline 1,5 cm. Stiki plošc bandažirani in kitani.</t>
  </si>
  <si>
    <t>Dobava in montaža tipskih kovinskih ojacitev v stene, za montažo sanitarnih elementov.</t>
  </si>
  <si>
    <t>Izdelava vertikalne zapore ( kaskade) z mavcnokartonskimi plošcami debeline 1,5 cm, s podkonstrukcijo, bandažiranjem in kitanjem stikov. Višina 45 cm.</t>
  </si>
  <si>
    <t>Dobava in polaganje talnih protizdrsnih keramicnih plošcic, z lepljenjem na cementni estrih, kompletno s sticenjem z vodoodbojno fugirno maso. Plošcice velikosti 10/10 cm, tip PRIME ali podobno. Enobarvne, sive barve ( NCS S 6500 - N), cenovnega razreda 20 EUR/m2. Dobava in montaža brez pisne potrditve odgovornega projektanta arhitekture ni dovoljena.</t>
  </si>
  <si>
    <t>Dobava in oblaganje sten, z glaziranimi keramicnimi plošcicami, z leplenjem na pripravljeno podlago, sticenjem z vlagoodbojno fugirno maso in predhodno impregnacijo podlage. Plošcice velikosti 10/10 cm, tip PRIME ali podobno. Enobarvne, bele barve, cenovnega razreda 20 EUR/m2. Dobava in montaža brez pisne potrditve odgovornega projektanta arhitekture ni dovoljena.</t>
  </si>
  <si>
    <t>Dobava in leplenje tipskih keramicnih zaokrožnic višine 7 cm.</t>
  </si>
  <si>
    <t>Dobava in leplenje nizkostenske ravne obrobe s keramicnimi plošcicami višine 10 cm.</t>
  </si>
  <si>
    <t>Enako kot postavka 1., samo plošcice v pokritih stojnicah.Zmrzlinsko odporne in kitane z zmrzlinsko odpornim kitom.</t>
  </si>
  <si>
    <t>Doplacilo za eventuelno izvedbo tlaka s kislinoodpornimi plošcicami kitane s kislinoodpornim kitom. ( obcijsko).</t>
  </si>
  <si>
    <t>OPOMBA:
Izvajalec fasad si mora glede na nacrt fasad vracunati morebiten odpadek plošc, ki bo nastal zaradi rezanja plošc na zahtevane formate. Ponudba mora vsebovati ves potreben material in delo za popolno izgotovljene sestave (npr. razrez plošc, vrtanje lukenj za pritrdila, montažo podkonstrukcije, dobavo in montažo pritrdil, vijakov, tesnil, kovic, trakov L plocevine, podložk, vertikalnih in horizontalnih pritrdilnih letev, odkapov, ostalega vsega materiala in vsega ostalega montažnega materiala). Prav tako je izvajalec dolžan izdelati delavniške nacrte in vzorec fasadne stene, katerega obvezno potrdi odgovorni projektant ahitekture.</t>
  </si>
  <si>
    <t>Dobava materiala in obloga fasade v
sestavi "Z1":
- alu fasadne plošce prašno barvane iz krivljene plocevine debeline 3 mm, s podkonstrukcijo
- zracni medprostor 4 cm
- alu podkonstrukcija iz U profilov 30/40 mm z izrezanimi zatici za obešanje. U profil sidran v steno
- paropropustna folija
- toplotna izolacija debeline 10 cm ( npr. TERVOL DDP), pritrjena med fasadno podkonstrukcijo. Na mestih kjer so okna so alu paneli perforirani.</t>
  </si>
  <si>
    <t>Dobava materiala in montaža fasadnih sten
v sestavi "Z5":
- alu fasadne plošce, prašno barvane ( tigr barva) RAL 7016, debeline 3 mm, iz krivljene plocevine, s podkonstrukcijo.
Zunaj plošce brez vidnih pritrdil. Plošce so kaširane na OSB plošce debeline 2,2 cm.
- zracni medprostor 10 cm, podkonstrukcija iz CW profilov 50 oz. 100 mm in jeklen steber 100/100/5 mm
- vodoodporne mavcnokartonske plošce debeline 2 x 1,25 cm Stiki plošc bandažirani in kitani.</t>
  </si>
  <si>
    <t>Dobava materiala in montaža fasadnih sten
v sestavi "Z5a":
- alu fasadne plošce, prašno barvane (tigr barva) RAL 7016, debeline 3 mm, iz krivljene plocevine, s podkonstrukcijo.
Zunaj so plošce brez vidnih pritrdil.
- zracni medprostor med podkonstrukcijo 4 cm.
- podkonstrukcija alu U profili 30/40 mm, po detajlu odgovornega projektanta arhitekture.
- vlagoodporne OSB plošce debeline 2 cm
- toplotna izolacija debeline 10 cm ( npr. TERVOL DDP) med CW profili 100 mm
- vlagoodporne mavcnokartonske plošce debeline 2 x 1,25 cm. Stiki plošc bandažirani in kitani.</t>
  </si>
  <si>
    <t>Dobava materiala in montaža fasadnih sten
v sestavi "Z5b":
- alu fasadne plošce, prašno barvane (tigr barva) RAL 7016, debeline 3 mm, iz krivljene plocevine, s podkonstrukcijo.
Zunaj so plošce brez vidnih pritrdil.
- zracni prostor 5 cm - prezracevani pas
- podkonstrukcija alu U profili 30/50 mm, z izrezanimi zatici za montažoi fasade, po detajlu odgovornega projektantaarhitekture.</t>
  </si>
  <si>
    <t>Izdelava, dobava in montaža alu barvanih rešetk, za izpust zraka na fasadi. Rešetka fi 15 cm.</t>
  </si>
  <si>
    <t>Dvakratno glajenje sten in stropov z jubolinkitom.</t>
  </si>
  <si>
    <t>Dvakratno slikanje sten in stropov s disperzijsko barvo za notranje prostore.</t>
  </si>
  <si>
    <t>Slikanje sten s pralno barvo npr. LATEKS, s predhodno pripravo podlage.</t>
  </si>
  <si>
    <t>Miniziranje in finalno pleskanje raznih manjših kljucavnicarskih izdelkov. Ocena.</t>
  </si>
  <si>
    <t>Izdelava in montaža raznih napisnih tablic. Ocena.</t>
  </si>
  <si>
    <t>Finalno cišcenje prostorov pred tehnicnim pregledom in pred primopredajo objekta. Upoštevana netto površina.</t>
  </si>
  <si>
    <t xml:space="preserve">Dobava in montaža držala za toaletni papir, v inoks izvedbi, tip Inda ali podobno. </t>
  </si>
  <si>
    <t xml:space="preserve">Dobava in montaža stenskega dozirnika za tekoce milo npr. Inda ali podobno. </t>
  </si>
  <si>
    <t xml:space="preserve">Dobava in montaža držala za papirnate brisace npr. Inda ali podobno. </t>
  </si>
  <si>
    <t xml:space="preserve">Dobava in montaža obešalnika za obleko, npr. Inda ali podobno. </t>
  </si>
  <si>
    <t xml:space="preserve">Dobava in montaža PVC zavese na inoks cevi. </t>
  </si>
  <si>
    <t>Dobava in montaža pralne preproge pod prho.</t>
  </si>
  <si>
    <t xml:space="preserve">Dobava in montaža police za toaletni papir pod ogledalom. </t>
  </si>
  <si>
    <t xml:space="preserve">Dobava in montaža obešalne kljuke za obleko. </t>
  </si>
  <si>
    <t>Izdelava, dobava in montaža hladilnice tlorisne velikosti 8 m2, kompletno z vsemi izolativnimi oblogami, elektro in strojno opremo, kompresorjem, zunanjo enoto, krmilnim mehanizmom, vrati, kljucavnico. Cena mora vsebovati tudi izdelavo projektne dokumentacije za celotno hladilnico. Projekt mora pisno potrditi odgovorni vodja jrojekta.</t>
  </si>
  <si>
    <t>Izdelava, dobava in montaža panelov iz alu prašno barvanih plošc ( kot fasadna obloga) s kovinsko podkonstrukcijo. Paneli so izdelani kot zložljiva vrata, kompletno z vodili in kljucavnico ter celotnim montažnim materialom. Okovje in vodila kvalitete napr. SCHACHERMAYER ali podobno. Vodila morajo zagotavljati zatikanje oziroma fiksiranje na skrajnih legah, zaklepanje in navzven nevidne tecaje. Izdelava po zahtevah v PZI projektu in odgovornega projektanta arhitekture. ( glej fasadni pas 7).</t>
  </si>
  <si>
    <t xml:space="preserve">Enako kot postavka 17., samo paneli enostavne izvedbe, z eskscentricnim tecajem in kljuko za fiksiranje odprtega krila. Velikost elementa 193 x 160 cm. ( dvokrilna).
</t>
  </si>
  <si>
    <t>Izdelava in montaža prodajnih pultov iz vlagoodpornih OSB plošc, kaširanih z inoks plocevino, širine 95 cm. Plošca je položena in vijacena na lesene letve 50/50 mm. Izdelava podetajlu "Fasadni pas 3."</t>
  </si>
  <si>
    <t xml:space="preserve">Razna manjša in nepredvidena obrtniška dela. Obracun po potrditvi nadzornega organa. Ocena 5 % vrednosti del. </t>
  </si>
  <si>
    <t xml:space="preserve">Izdelava in montaža nosilne konstrukcije za enote hladilnice na strehi, izvedene iz betonskih kubusov, povezanih z vrocecinkanimi profili. Vse skupaj položeno na ekstrudirani polistirem.
</t>
  </si>
  <si>
    <t>Izdelava in montaža talne inoks pohodne rešetke veliksti 90 x 10 cm, kompletno z inoks okvirjem.</t>
  </si>
  <si>
    <t>Vrednost (€)</t>
  </si>
  <si>
    <t>Izdelava horizontalne hidroizolacije pod tlaki; vključno z vsemi pomožnimi deli, transporti in zaključki v naslednji sestavi:
- hladni bitumenski premaz, 0,30 kg/m2
- enoslojna polimer - bitumenska hidroizolacija debeline 5 mm, polno varjena s preklopi najmanj 20 cm ( npr. SCUDOPLAST TNT 5 ali enakovredno).                                                   Vse kompletno z dobavo vsega potrebnega materiala, obdelavo vogalov in stikov z vertikalno izolacijo, vsemi potrebnimi prenosi do mesta vgraditve ter z vsemi pomožnimi in pripravljalnimi deli. 
Obračun po neto m2 tlorisne površine plošče (preklopi v predračunski količini niso upoštevani)</t>
  </si>
  <si>
    <t>Zidanje zidov z opeko Porotherm S P+E in z toplotno izolacijsko malto (Baumit Thermomortel 50). Zidanje izvajati v skladu z navodili proizvajalca Wienerberger. Opeko je potrebno pred zidanjem namočiti, da ne bi potegnila vode iz sveže malte ter se s tem oslabila trdnost spoja opečni blok - malta - opečni blok ter s tem trdnosti zidu. opeko ni dovoljeno lomiti z zidarskim kladivom, temveč se mora rezati z žago.</t>
  </si>
  <si>
    <t>4a.</t>
  </si>
  <si>
    <t>4b.</t>
  </si>
  <si>
    <t>4c.</t>
  </si>
  <si>
    <t>4d.</t>
  </si>
  <si>
    <t>zid debeline 38 cm - Porotherm 38 S P+E - pritličje</t>
  </si>
  <si>
    <t>zid debeline 30 cm - Porotherm 30 S P+E - pritličje</t>
  </si>
  <si>
    <t>zid debeline 12 cm - Porotherm 11,5 P+E - pritličje</t>
  </si>
  <si>
    <t>zid debeline 20 cm - Porotherm 20/50 S P+E - pritličje</t>
  </si>
  <si>
    <t>Dobava in vgrajevanje Porotherm preklad 12/6,5 cm</t>
  </si>
  <si>
    <t>kos</t>
  </si>
  <si>
    <t>l= 1,25 m - pritličje</t>
  </si>
  <si>
    <t>l=1,75 m - pritličje</t>
  </si>
  <si>
    <t>l=2,25 m - pritličje</t>
  </si>
  <si>
    <t>5a.</t>
  </si>
  <si>
    <t>5b.</t>
  </si>
  <si>
    <t>5c.</t>
  </si>
  <si>
    <t xml:space="preserve">Izdelava vertikalne hidroizolacije v sestavi:
- izravnava sten s fino cementno malto debeline 1 cm, zaribana površina
- hladni bitumenski premaz, 0,30 kg/m2
- enoslojna polimer bitumenska hidroizolacija debeline 5 mm, polno varjena (preklopi v predračunski količini niso upoštevani)
</t>
  </si>
  <si>
    <t>Opaž vertikalnih vezi višine do 3,00 m, z montažo in demontažo - pritličje</t>
  </si>
  <si>
    <t>Opaž preklad pravokotnega preseka. S podporami do 2,70 m, z montažo in demontažo.</t>
  </si>
  <si>
    <t xml:space="preserve">Opaž betonske plošce s podporami do 3,00 m. Opaž za gladek vidni beton - plošča garaže
</t>
  </si>
  <si>
    <t>Opaž stranic pri ploščah višine do 25 cm, z montažo in demontažo.</t>
  </si>
  <si>
    <t>Lahki premični zidarski odri višine do 3 m. Obračuna 1x tlorisna površina prostorov - pritličje.</t>
  </si>
  <si>
    <t xml:space="preserve">Opaž betonske plošce s podporami do 3,00 m. Opaž za gladek beton - plošča stanovanjskega dela
</t>
  </si>
  <si>
    <t xml:space="preserve">Opomba: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12 mm, odvečna malta iz stikov se mora odstraniti.  
Vse ometane površine morajo biti popolnoma ravne z enakomerno površinsko obdelavo. </t>
  </si>
  <si>
    <t>Delovni, lovilni in varovalni odri se ne obračunavajo posebej, če niso navedeni v tem poglavju predračuna.  Te odre je potrebno vkalkulirati v enotne cene postavk.</t>
  </si>
  <si>
    <t>Opaž stopnic širine 1,00 m</t>
  </si>
  <si>
    <t>opaž zrcalnih ploskev</t>
  </si>
  <si>
    <t>opaž stopniščne rame - vidni beton</t>
  </si>
  <si>
    <t>opaž čelnih ploskev</t>
  </si>
  <si>
    <t>Dobava in vgrajevanje oz. zalaganje lesocementnih plošč deb. 5 cm, "heraklit" (npr. Novolit) za opaž, pri AB plošči, prekladah in horizontalnih vezeh - plošče v pasovih cca. 15 cm</t>
  </si>
  <si>
    <t>Zemeljska dela</t>
  </si>
  <si>
    <t>Armiranobetonska dela</t>
  </si>
  <si>
    <t>Kanalizacija</t>
  </si>
  <si>
    <t>Fasada</t>
  </si>
  <si>
    <t>kv delavec</t>
  </si>
  <si>
    <t>pk delavec</t>
  </si>
  <si>
    <t>ur</t>
  </si>
  <si>
    <t>material 25%</t>
  </si>
  <si>
    <t>m</t>
  </si>
  <si>
    <t>m'</t>
  </si>
  <si>
    <t>Razno</t>
  </si>
  <si>
    <t>C.</t>
  </si>
  <si>
    <t>ZUNANJA UREDITEV</t>
  </si>
  <si>
    <t>D.</t>
  </si>
  <si>
    <t>STROJNE INSTALACIJE</t>
  </si>
  <si>
    <t>ELEKTRO INSTALACIJE</t>
  </si>
  <si>
    <t>SKUPNA REKAPITULACIJA</t>
  </si>
  <si>
    <t>SKUPAJ ZEMELJSKA DELA:</t>
  </si>
  <si>
    <t>SKUPAJ AB DELA:</t>
  </si>
  <si>
    <t>SKUPAJ TESARSKA DELA:</t>
  </si>
  <si>
    <t>SKUPAJ ZIDARSKA DELA:</t>
  </si>
  <si>
    <t>SKUPAJ KANALIZACIJA:</t>
  </si>
  <si>
    <t>SKUPAJ KROVSKO KLEPARSKA DELA:</t>
  </si>
  <si>
    <t>SKUPAJ KLJUČAVNIČARSKA DELA:</t>
  </si>
  <si>
    <t>SKUPAJ KERAMIČARSKA DELA:</t>
  </si>
  <si>
    <t>SKUPAJ SLIKOPLESKARSKA DELA:</t>
  </si>
  <si>
    <t>SKUPAJ RAZNO:</t>
  </si>
  <si>
    <t>ODSTRANJEVALNA DELA</t>
  </si>
  <si>
    <t>E.</t>
  </si>
  <si>
    <t>F.</t>
  </si>
  <si>
    <t>G.</t>
  </si>
  <si>
    <t>TK PRIKLJUČEK</t>
  </si>
  <si>
    <t>Premaz delovnih stikov s sredstvom za boljšo sprijemljivost starega in novega betona (npr. elastosil ali sl.); ocena</t>
  </si>
  <si>
    <t xml:space="preserve">m2 </t>
  </si>
  <si>
    <t>Suhomontažna dela</t>
  </si>
  <si>
    <t>SKUPAJ SUHOMONTAŽNA DELA:</t>
  </si>
  <si>
    <t>Kamnoseška dela</t>
  </si>
  <si>
    <t>SKUPAJ KAMNOSEŠKA DELA:</t>
  </si>
  <si>
    <t>Kompletna dobava in vgradnja čepaste folije iz polietilena visoke trdnosti kot zaščita hidroizolacije; ocena!</t>
  </si>
  <si>
    <t>XI.</t>
  </si>
  <si>
    <t>pritličje</t>
  </si>
  <si>
    <t>Zaščita PVC kanalizacijskih cevi v sanitarijah po dokončanju del vodoinstalaterjev, poraba betona C/810 do 0,01 m3/m1. Ocena!</t>
  </si>
  <si>
    <t>%</t>
  </si>
  <si>
    <t>Gradbena dela</t>
  </si>
  <si>
    <t>Obrtniška dela</t>
  </si>
  <si>
    <t>SKUPAJ MIZARSKA DELA:</t>
  </si>
  <si>
    <r>
      <rPr>
        <b/>
        <sz val="10"/>
        <rFont val="Arial"/>
        <family val="2"/>
        <charset val="238"/>
      </rPr>
      <t xml:space="preserve">OPOMBA: </t>
    </r>
    <r>
      <rPr>
        <sz val="10"/>
        <rFont val="Arial"/>
        <family val="2"/>
        <charset val="238"/>
      </rPr>
      <t xml:space="preserve"> V ceni vseh postavk zajeti vsa dela, vse prenose in prevoze na gradbišču; ves osnovni, pomožni, tesnilni in sidrni material. Vsa dela se morajo izvajati v skladu z načrtom, tehničnim poročilom ter standardi in predpisi.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skladno s predpisi. V ceni je potrebno zajeti vse eventuelne potrebne slepe okvirje in razširitve. Po končani gradnji, pred prevzemom del se izdelke pregleda, nastavi okovje, počisti pripire elementov z odpiranjem in odstrani zaščito. Pred naročilom elementov vrat mora izvajalec pridobiti potrdilo investitorja!</t>
    </r>
  </si>
  <si>
    <t>zrcalne ploskve</t>
  </si>
  <si>
    <t>stranice stopniščne rame</t>
  </si>
  <si>
    <t>Kompletna dobava in montaža lesene obloge nadstreška iz kvalitetnega lesa sibirski macesen, trapeznega preseka. Vertikalni in horizontalni del. Vključno z vso potrebno podkonstrukcijo in vsem potrebnim pritrjevanjem ter z vsemi pomožnimi deli. Les ustrezno impregniran in UV zaščiten. Obliko/presek lesa izbere investitor/projektant.Upoštevati vse potrebne obdelave!</t>
  </si>
  <si>
    <t>1.4.</t>
  </si>
  <si>
    <t>1.5.</t>
  </si>
  <si>
    <t>1.7.</t>
  </si>
  <si>
    <t>Kompletna dobava in montaža lesene obloge fasade iz kvalitetnega lesa sibirski macesen, trapeznega preseka, vertikalno in horizontalno. Vključno z vso potrebno nerjavečo podkonstrukcijo iz pohištvenih cevi in vsem potrebnim pritrjevanjem ter z vsemi pomožnimi deli. V ceno vključiti tudi mrežico (bele barve) proti mrčesu, ki je pritrjena med leseno konstrukcijo in podkonstrukcijo. Les ustrezno impregniran in UV zaščiten. Obliko/presek lesa izbere investitor/projektant. Upoštevati vse potrebne obdelave!</t>
  </si>
  <si>
    <t>stopniščna rama</t>
  </si>
  <si>
    <t>1.1.</t>
  </si>
  <si>
    <t>1.2.</t>
  </si>
  <si>
    <t>1.3.</t>
  </si>
  <si>
    <t>1.6.</t>
  </si>
  <si>
    <t>O1_80 cm</t>
  </si>
  <si>
    <t>Dobava, montaža, demontaža lahkih premičnih odrov na kovinskih stolicah ali vozičkih višine do 2 m za vsa GOI dela v objektu; obračuna se enkratna površina vseh  prostorov</t>
  </si>
  <si>
    <t>Sprotno čiščenje objekta, vključno s čiščenjem stavbnega pohištva in oblog; obračuna se enkratna površina notranjih prostorov po dokončanju del. Upoštevana neto kvadratura.</t>
  </si>
  <si>
    <t xml:space="preserve">Kompletna dobava in vgradnja kanalizacijskih cevi za notranjo fekalno kanalizacijo v temeljih; vključno z vsemi potrebnimi fazonskimi kosi (se ne obračunavajo posebej), priključitvami, obdelavami priključkov ter vključno z zasipom cevi s peskom 0-4 mm. </t>
  </si>
  <si>
    <t xml:space="preserve">GRADBENO OBRTNIŠKA DELA </t>
  </si>
  <si>
    <t>Dobava, montaža in demontaža enostranskega opaža podložnega betona višine 10 cm; ocena!</t>
  </si>
  <si>
    <t>Kompletna dobava in izvedba tesnjenja pri prebojih komunalnih vodov v objekt (voda, elektrika, kanalizacija…); npr. Sika. Po navodilih proizvajalca.</t>
  </si>
  <si>
    <t>O2_230 cm</t>
  </si>
  <si>
    <t>O3_180 cm</t>
  </si>
  <si>
    <t>O4_340 cm</t>
  </si>
  <si>
    <t>O5_120 cm</t>
  </si>
  <si>
    <t>O6_180 cm</t>
  </si>
  <si>
    <t>Ss1+Ss2_502+192 cm</t>
  </si>
  <si>
    <t>Kompletna dobava in vgradnja zunanjih kamnitih okenskih polic, npr. Pohorski tonalit - temni, deb. 3 cm, širine cca. 22 cm, z odkapnim robom; vključni z vsemi potrebnimi deli, transportom, kitanjem (UV odporni kit), lepilom,… Dimenzije so navedene po okenskih odprtinah, točne posneti na licu mesta!</t>
  </si>
  <si>
    <t>Pripravljalna/odstranjevalna dela</t>
  </si>
  <si>
    <r>
      <t>OPOMBA:</t>
    </r>
    <r>
      <rPr>
        <sz val="10"/>
        <rFont val="Swis721 Cn BT"/>
        <family val="2"/>
      </rPr>
      <t xml:space="preserve"> Izvajalec kamnoseških del mora pred pričetkom dela pregledati vse površine, ki bodo oblagane in opozoriti gradbeno vodstvo oziroma nadzor na eventuelne pomanjkljivosti, ki bi utegnile kvarno vplivati na brezhibno polaganje kamna. Kasnejše izgovori o pomanjkljivih površinah bodo smatrani za brezpredmetne. Po zaključnem delu mora izvajalec vse površine brezhibno očistiti. Pred naročilom mora izvajalec preveriti količine in dimenzije ter dostaviti vzorce v potrditev projektantu oz. investitorju!</t>
    </r>
  </si>
  <si>
    <t>Cevi DN 110 mm</t>
  </si>
  <si>
    <t>Kompletna dobava in izvedba drenaže; vključeno drenažne cevi MIDREN fi 160 mm; beton C12/15 za posteljico 0,04 m3/m; filc 200 g 1m2/m; zasutje 0,5 m2/m; ocena, izvedba gravitacijskega odvodnjavanja.</t>
  </si>
  <si>
    <t>Nasip pod  temelji objekta, z nasutjem 0-32, z utrjevanjem in planiranjem po plasteh; ocena</t>
  </si>
  <si>
    <t>Kompletna dobava, krivljenje, polaganje in vezanje rebraste enostavne in srednje komplicirane rebraste armature S 500 C vključno z armaturnimi mrežami; ocena, obračun v kg po armaturnih načrtih!</t>
  </si>
  <si>
    <t>pritličje; ostali prostori</t>
  </si>
  <si>
    <t>Dobava, montaža in demontaža ter čiščenje dvostranskega opaža; AB stene dvigalnega jaška</t>
  </si>
  <si>
    <t>Dobava, montaža in demontaža ter čiščenje enostranskega opaža višine 20 cm, rob AB plošča</t>
  </si>
  <si>
    <t>l=125 cm; š=24 cm</t>
  </si>
  <si>
    <t>Dvigalo</t>
  </si>
  <si>
    <t>SIGNALIZACIJA
V kabini: Pokazatelj položaja kabine in smeri nadaljnje vožnje, v MATRIX tehnologiji
V glavni postaji: Pokazatelj položaja kabine in smeri nadaljnje vožnje, v MATRIX tehnologiji
V ostalih postajah: Pokazatelj položaja kabine in smeri nadaljnje vožnje, v MATRIX tehnologiji</t>
  </si>
  <si>
    <t>SKUPAJ DVIGALO:</t>
  </si>
  <si>
    <t>Kompletna dobava in vgradnja RF profilov kot ločnica med različnimi tlaki; natančen tip uskladita izvajalec keramičarskih in tlakarskih del; ocena</t>
  </si>
  <si>
    <t>Tlaki</t>
  </si>
  <si>
    <t>SKUPAJ TLAKI:</t>
  </si>
  <si>
    <t xml:space="preserve">Kompletna izdelava zaključnega samočistilnega sloja Baumit Nanopor Top 1,5mm na coklu s kvalitetnimi fasadnimi barvami po izbiri investitorja oz. projektanta. Vključno z lepilom Open Contact, pritrdilnimi sidri, armirno mrežico, ALU vogalnimi profili na vseh izpostavljenih delih, ALU odkapnimi profili. </t>
  </si>
  <si>
    <t>X.</t>
  </si>
  <si>
    <t>Kompletna dobava in vgradnja npr. Stigmaflex zaščitnih cevi pod temelji za dovod komunalnih vodov; ocena</t>
  </si>
  <si>
    <t>Skupaj z DDV:</t>
  </si>
  <si>
    <t>mreže</t>
  </si>
  <si>
    <t xml:space="preserve">Dobava in pokrivanje strešnikov - odzračniki, tipsko. Točno število se določi ob izvedbi strojnih instalacij. </t>
  </si>
  <si>
    <t>Kompletna dobava in vgradnja garažnega talnega požiralnika, iz litega železa DN 100 s prirobnico za različe zaključne premaze, vertikalni iztok DN 100; LTŽ rešetka fi 200, N125, npr. ACO, d.o.o.</t>
  </si>
  <si>
    <t>INVESTITOR: Občina Bistrica ob Sotli</t>
  </si>
  <si>
    <t>Priprava, ureditev in zavarovanje gradbišča, postavitev premične pisarne in sanitarij, prometne signalizacije ter kasnejša odstranitev, ipd.; kompletno z vsemi pomožnimi deli - zajeto pri zunanji ureditvi</t>
  </si>
  <si>
    <t>OBJEKT: Vrtec in telovadnica OŠ Bistrica ob Sotli</t>
  </si>
  <si>
    <t>Plačilo stroška geodetske zakoličbe novega objekta, vključno z zakoličbo karakterističnih točk širokega izkopa oz. profilov in zavarovanje le teh</t>
  </si>
  <si>
    <t>SKUPAJ PRIPRAVLJALNA/ODSTRANJEVALNA DELA:</t>
  </si>
  <si>
    <t>Kompletna montaža ter kasnejša demontaža delovnih in lovilnih odrov s ustrezno protiprašno zaščito. Posebni odri se morajo postaviti ob objekte, ki tangirajo na cestno telo (pločnik, dostopna cesta, javna pot…). Vse postavitve, zaščite izvajati skladno z varnostnim načrtom! Ocena!</t>
  </si>
  <si>
    <t>Kompletna odstranitev podložni betonov, AB temeljev, AB plošč, AB nosilcev, AB stebrov, AB estrihov, AB stopnic, ipd.,  s prenosom do mesta nakladanja, nakladanjem na prevozno sredstvo…ocena!</t>
  </si>
  <si>
    <t>Kompletna izvedba prebojev v obstoječo šolo za kasnejšo izvedbo povezave, rušenje v opečni steni debeline do 50 cm, vključno zunanji in notranji omet,  s prenosom do mesta nakladanja, nakladanjem na prevozno sredstvo…ocena!</t>
  </si>
  <si>
    <t>Rušenje opečnih sten debeline do 30 cm, vključno omet,  s prenosom do mesta nakladanja, nakladanjem na prevozno sredstvo…ocena!</t>
  </si>
  <si>
    <t>Kompletna odstranitev toplotne izolacije (mineralna volna, kombi plošče, mešanice izolacijskih materialov,..) v stenah in stropovih, s prenosom do mesta nakladanja in odvozom na trajno deponijo, plačilo upravnih taks…ocena!</t>
  </si>
  <si>
    <t>Kompletna odstranitev lesenega ostrešja, desk, lesenih nosilcev, lesenih stropov, lesenih stopnic, lesenih konstrukcij in podkonstrukcij, ipd., s prenosom do mesta nakladanja in odvozom na trajno deponijo, plačilo upravnih taks…ocena!</t>
  </si>
  <si>
    <t>Kompletna odstranitev parketa, s prenosom do mesta nakladanja in odvozom na trajno deponijo, plačilo upravnih taks…ocena!</t>
  </si>
  <si>
    <t>Kompletna odstranitev keramike, s prenosom do mesta nakladanja in odvozom na trajno deponijo, plačilo upravnih taks…ocena!</t>
  </si>
  <si>
    <t>Kompletna odstranitev PVC talne obloge (topli pod), s prenosom do mesta nakladanja in odvozom na trajno deponijo, plačilo upravnih taks…ocena!</t>
  </si>
  <si>
    <t>Kompletna odstranitev obstoječe pločevinaste strehe, vključo z pripadajočo podkonstrukcijo, žlebovi…. s prenosom do mesta nakladanja in odvozom na trajno deponijo, plačilo upravnih taks…ocena!</t>
  </si>
  <si>
    <t>Kompletna odstranitev kovinskih ograj, kovinskih rešetk,  jeklenih konstrukcij, jeklenih podkonstrukcij, jeklenih profilov, ipd., s prenosom do mesta nakladanja in odvozom na trajno deponijo, plačilo upravnih taks…ocena!</t>
  </si>
  <si>
    <t>Kompletna odstranitev vrat in oken površine do 2,0 m2 vključno z policami, žaluzijami in pritrdilnim materialom, s prenosom do mesta nakladanja in odvozom na trajno deponijo, plačilo upravnih taks.</t>
  </si>
  <si>
    <t>Kompletna odstranitev vrat in oken površine od 2,0 - 4,0 m2 vključno z policami, žaluzijami in pritrdilnim materialom, s prenosom do mesta nakladanja in odvozom na trajno deponijo, plačilo upravnih taks.</t>
  </si>
  <si>
    <t>Kompletna odstranitev vrat in oken površine nad 4,0 m2 vključno z policami, žaluzijami in pritrdilnim materialom, s prenosom do mesta nakladanja in odvozom na trajno deponijo, plačilo upravnih taks.</t>
  </si>
  <si>
    <t>Kompletna odstranitev garažnih vrat vključno z pritrdilnim materialom, s prenosom do mesta nakladanja in odvozom na trajno deponijo, plačilo upravnih taks.</t>
  </si>
  <si>
    <t>Kompletna odstranitev zunanjih vrat vključno z pritrdilnim materialom, s prenosom do mesta nakladanja in odvozom na trajno deponijo, plačilo upravnih taks.</t>
  </si>
  <si>
    <t>Kompletna odstranitev notranjih vrat velikosti do 2 m2 vključno z pritrdilnim materialom, s prenosom do mesta nakladanja in odvozom na trajno deponijo, plačilo upravnih taks.</t>
  </si>
  <si>
    <t>Kompletna odstranitev notranjih vrat velikosti nad 2 m2 vključno z pritrdilnim materialom, s prenosom do mesta nakladanja in odvozom na trajno deponijo, plačilo upravnih taks.</t>
  </si>
  <si>
    <t>pav</t>
  </si>
  <si>
    <t>Kompletna odstranitev strojnih inštalacij po objektih, s prenosom do mesta nakladanja in odvozom na trajno deponijo, plačilo upravnih taks.</t>
  </si>
  <si>
    <t>Kompletna odstranitev elektro inštalacij po objektih, s prenosom do mesta nakladanja in odvozom na trajno deponijo, plačilo upravnih taks.</t>
  </si>
  <si>
    <t>Kompletna demontaža obstoječe opreme v telovadnici, s prenosom do mesta za deponiranje oz. s prenosom do mesta nakladanja in odvozom na trajno deponijo, plačilo upravnih taks. Dogovor z predstavnikom šole!</t>
  </si>
  <si>
    <t>Kompletna odstranitev obstoječe nadstrešnice pri vrtcu, jeklena konstrukcija, s prenosom do mesta nakladanja in odvozom na trajno deponijo, plačilo upravnih taks. Ocena, obračun po dejanskih kg!</t>
  </si>
  <si>
    <t>Kompletna odstranitev obstoječe strehe nadstrešnice pri vrtcu, streha iz polikarbonata, s prenosom do mesta nakladanja in odvozom na trajno deponijo, plačilo upravnih taks. Ocena, obračun po dejanskih m2!</t>
  </si>
  <si>
    <t>t</t>
  </si>
  <si>
    <t>Odvoz ruševin na deponijo z plačilom upravnih taks. Ocena, obračun po dejanskih tonah.</t>
  </si>
  <si>
    <t>Kompletna dobava in vgrajevanje podložnega betona C8/10, prereza od 0,08 do 0,12 m3/m2,m1; podložni beton</t>
  </si>
  <si>
    <t>Kompletna dobava in vgrajevanje armiranega betona C30/37, XC2, prereza nad 0,30 m3/m2,m1; AB pasovni temelji</t>
  </si>
  <si>
    <t>Kompletna dobava in vgrajevanje armiranega betona C30/37, XC2, prereza 0,20 - 0,30 m3/m2,m1; AB temeljna plošča dvigalnega jaška</t>
  </si>
  <si>
    <t>Kompletna dobava in vgrajevanje armiranega betona C30/37, XC2, prereza 0,20-0,30 m3/m2,m1; AB temeljna plošča, uvozna rampa; finalna obdelava metličeno</t>
  </si>
  <si>
    <t>Kompletna dobava in vgrajevanje armiranega betona C25/30, XC3, prereza 0,20 - 0,30 m3/m2,m1; AB stene dvigalnega jaška</t>
  </si>
  <si>
    <t>Kompletna dobava in vgrajevanje armiranega betona C25/30, XC3, prereza 0,20 - 0,30 m3/m2,m1; AB stropna plošča dvigalnega jaška</t>
  </si>
  <si>
    <t>Kompletna dobava in vgrajevanje armiranega betona C25/30, XC3, prereza 0,20 - 0,30 m3/m2,m1; AB stene klet (os 1- os 8)</t>
  </si>
  <si>
    <t>Kompletna dobava in vgrajevanje armiranega betona C25/30, XC3, prereza 0,20 - 0,30 m3/m2,m1; AB stene klet v delu telovadnice in stene telovadnica (os 8 - os 14), vključno razširitve na oseh; višina sten telovadnice znaša 11,95 m oz max. 15,27 m</t>
  </si>
  <si>
    <t>Kompletna dobava in vgrajevanje armiranega betona C25/30, XC3, prereza 0,12 - 0,20 m3/m2,m1; AB slopi klet</t>
  </si>
  <si>
    <t>Kompletna dobava in vgrajevanje armiranega betona C25/30, XC3, prereza 0,04 - 0,08 m3/m2,m1; AB vertikalne vezi klet</t>
  </si>
  <si>
    <t>Kompletna dobava in vgrajevanje armiranega betona C25/30, XC3, prereza 0,20 - 0,30 m3/m2,m1; AB horizontalne vezi, nosilci klet</t>
  </si>
  <si>
    <t>Kompletna dobava in vgrajevanje armiranega betona C25/30, XC3, prereza 0,20 - 0,30 m3/m2,m1; AB plošča nad kletjo - vrtec, igrišče</t>
  </si>
  <si>
    <t>Kompletna dobava in vgrajevanje armiranega betona C25/30, XC3, prereza 0,20 - 0,30 m3/m2,m1; AB plošča nad kletjo - telovadnica</t>
  </si>
  <si>
    <t>Kompletna dobava in vgrajevanje armiranega betona C25/30, XC3, prereza 0,20 - 0,30 m3/m2,m1; AB plošča nad kletjo - uvozna rampa</t>
  </si>
  <si>
    <t>Kompletna dobava in vgrajevanje armiranega betona C25/30, XC3, prereza 0,20 - 0,30 m3/m2,m1; AB atika nad kletjo</t>
  </si>
  <si>
    <t>Kompletna dobava in vgrajevanje armiranega betona C25/30, XC1, prereza 0,20 - 0,30 m3/m2,m1; AB plošča nad pritličjem, vrtec</t>
  </si>
  <si>
    <t>Kompletna dobava in vgrajevanje armiranega betona C25/30, XC3, prereza 0,20 - 0,30 m3/m2,m1; AB stene pritličja</t>
  </si>
  <si>
    <t>Kompletna dobava in vgrajevanje armiranega betona C25/30, XC3, prereza 0,12 - 0,20 m3/m2,m1; AB vertikalne vezi pritličja</t>
  </si>
  <si>
    <t>Kompletna dobava in vgrajevanje armiranega betona C25/30, XC3, prereza 0,04 - 0,08 m3/m2,m1; AB nosilci pritličja</t>
  </si>
  <si>
    <t>Kompletna dobava in vgrajevanje armiranega betona C25/30, XC3, prereza 0,12 - 0,20 m3/m2,m1; AB stopnice iz pritličja v nadstropje - vrtec</t>
  </si>
  <si>
    <t>Kompletna dobava in vgrajevanje armiranega betona C25/30, XC3, prereza 0,20 - 0,30 m3/m2,m1; AB stene nadstropja</t>
  </si>
  <si>
    <t>Kompletna dobava in vgrajevanje armiranega betona C25/30, XC3, prereza 0,12 - 0,20 m3/m2,m1; AB stopnice iz nadstropja v podstrešje - vrtec</t>
  </si>
  <si>
    <t>Kompletna dobava in vgrajevanje armiranega betona C25/30, XC1, prereza 0,20 - 0,30 m3/m2,m1; AB plošča nad nadstropjem, vrtec</t>
  </si>
  <si>
    <t>Kompletna dobava in vgrajevanje armiranega betona C25/30, XC1, prereza 0,20 - 0,30 m3/m2,m1; AB plošča nad pritličjem, telovadnica</t>
  </si>
  <si>
    <t>Kompletna dobava in vgrajevanje armiranega betona C25/30, XC1, prereza 0,20 - 0,30 m3/m2,m1; AB plošča nad nadstropjem, telovadnica</t>
  </si>
  <si>
    <t>Kompletna dobava in vgrajevanje armiranega betona C25/30, XC3, prereza 0,20 - 0,30 m3/m2,m1; AB stene podstrešja</t>
  </si>
  <si>
    <t>Kompletna dobava in vgrajevanje armiranega betona C25/30, XC1, prereza 0,20 - 0,30 m3/m2,m1; AB atika</t>
  </si>
  <si>
    <t>Kompletna dobava in vgrajevanje armiranega betona C25/30, XC3, prereza 0,20 - 0,30 m3/m2,m1; AB stopnice, stopnišči telovadnica</t>
  </si>
  <si>
    <t>palice do fi 12</t>
  </si>
  <si>
    <t>palice fi 14 in več</t>
  </si>
  <si>
    <t>Kompletna dobava in vgrajevanje armiranega betona C25/30, XC3, prereza 0,20 - 0,30 m3/m2,m1; AB stopnice v obstoječo šolo</t>
  </si>
  <si>
    <t>Kompletna dobava in vgrajevanje armiranega betona C25/30, XC3, prereza 0,20 - 0,30 m3/m2,m1; AB tribune (montažne)</t>
  </si>
  <si>
    <r>
      <rPr>
        <b/>
        <sz val="10"/>
        <rFont val="Arial Narrow"/>
        <family val="2"/>
        <charset val="238"/>
      </rPr>
      <t xml:space="preserve">SPLOŠNO: </t>
    </r>
    <r>
      <rPr>
        <sz val="10"/>
        <rFont val="Arial Narrow"/>
        <family val="2"/>
        <charset val="238"/>
      </rPr>
      <t xml:space="preserve">Opaži morajo biti gladki in ravni, stiki dobro zatesnjeni, da se prepreči odtekanje cementnega gela tako, da so stropne betonske površine popolnoma pripravljene za slikopleskarsko glajenje stropov (v postavkah kjer je to posebej navedeno). Izvajalec mora pustiti v vseh betonskih konstrukcijah odprtine za montažo instalacij. Vsi preboji so zajeti v enotnih cenah postavk! Odprtine v opažu velikosti do 1m2 se ne obračunavajo posebej. Delovni, lovilni in varovalni odri se ne obračunavajo posebej, če niso navedeni v tem poglavju predračuna. Po splošnih pogojih tega predračuna je potrebno te odre vkalkulirati v enotne cene postavk. V vse cene zajeti tudi vsi transporti, čiščenje in premaz opaža z opažnim oljem! Vso tehnologijo opaževanja pripravi izvajalec! </t>
    </r>
  </si>
  <si>
    <t>Dobava, montaža in demontaža enostranskega opaža podložnega betona; ocena!</t>
  </si>
  <si>
    <t>Dobava, montaža in demontaža ter čiščenje dvostranskega opaža pasovnih temeljev</t>
  </si>
  <si>
    <t>Dobava, montaža in demontaža ter čiščenje enostranskega opaža višine 25 cm, AB temeljna plošča dvigala</t>
  </si>
  <si>
    <t>Dobava, montaža in demontaža ter čiščenje enostranskega opaža višine 28 cm, AB plošča</t>
  </si>
  <si>
    <t>Dobava, montaža in demontaža ter čiščenje enostranskega opaža višine 58 cm, AB plošča</t>
  </si>
  <si>
    <t>Dobava, montaža in demontaža ter čiščenje okvirjev vratnih odprtin, širine 25 cm; dvigalni jaška</t>
  </si>
  <si>
    <t>Dobava, montaža in demontaža ter čiščenje dvostranskega opaža do višine skupno 11,95 m; AB stene telovadnice</t>
  </si>
  <si>
    <t>Dobava, montaža in demontaža ter čiščenje dvostranskega opaža do višine 3,40 m; AB stene kleti</t>
  </si>
  <si>
    <t>Dobava, montaža in demontaža ter čiščenje okvirjev vratnih in okenskih odprtin, širine 25 cm; klet, telovadnica</t>
  </si>
  <si>
    <t>Dobava, montaža in demontaža ter čiščenje dvostranskega opaža do višine 2,3 m; AB slopi</t>
  </si>
  <si>
    <t>Dobava, montaža in demontaža ter čiščenje dvostranskega opaža do višine 3,40 m; AB vertikalne vezi klet</t>
  </si>
  <si>
    <t>Dobava, montaža in demontaža ter čiščenje opaža za izvedbo AB medetažne stropne plošče nad kletjo; višina podpiranja do 3,02 m. V ceno zajeti izvedbo okvirjev za odprtine po načrtih  strojnih in elektro inštalacij. Vso tehnologijo opaževanja pripravi izvajalec.</t>
  </si>
  <si>
    <t>Dobava, montaža in demontaža ter čiščenje opaža za izvedbo AB krovne stropne plošče nad uvozno rampo; višina podpiranja do 2,42 m. V ceno zajeti izvedbo okvirjev za odprtine po načrtih  strojnih in elektro inštalacij. Vso tehnologijo opaževanja pripravi izvajalec.</t>
  </si>
  <si>
    <t>Dobava, montaža in demontaža ter čiščenje enostranskega opaža višine 28 cm, rob AB plošča</t>
  </si>
  <si>
    <t>Dobava, montaža in demontaža ter čiščenje dvostranskega opaža vezi; AB horizontalne vezi, nosilci; klet</t>
  </si>
  <si>
    <t>Dobava, montaža in demontaža ter čiščenje dvostranskega opaža vezi; AB atika (stene) nad kletjo</t>
  </si>
  <si>
    <t>Dobava, montaža in demontaža ter čiščenje okvirjev vratnih in okenskih odprtin, širine 25 cm; pritličje</t>
  </si>
  <si>
    <t>Dobava, montaža in demontaža ter čiščenje dvostranskega opaža do višine 3,40 m; AB vertikalne vezi pritličje</t>
  </si>
  <si>
    <t>Dobava, montaža in demontaža ter čiščenje dvostranskega opaža vezi; AB horizontalne vezi, nosilci; pritličje</t>
  </si>
  <si>
    <t>Dobava, montaža in demontaža ter čiščenje opaža za izvedbo AB stropne plošče nad pritličjem; višina podpiranja do 3,70 m. V ceno zajeti izvedbo okvirjev za odprtine po načrtih  strojnih in elektro inštalacij. Vso tehnologijo opaževanja pripravi izvajalec.</t>
  </si>
  <si>
    <t>Dobava, montaža in demontaža ter čiščenje enostranskega opaža višine do 28 cm, rob AB plošče</t>
  </si>
  <si>
    <t>Dobava, montaža in demontaža ter čiščenje dvostranskega opaža do višine 3,62 m; AB stene nadstropje</t>
  </si>
  <si>
    <t>Dobava, montaža in demontaža ter čiščenje dvostranskega opaža do višine 3,62 m; AB stene pritličje</t>
  </si>
  <si>
    <t>Dobava, montaža in demontaža ter čiščenje opaža za izvedbo AB stropne plošče nad nadstropjem; višina podpiranja do 3,70 m. V ceno zajeti izvedbo okvirjev za odprtine po načrtih  strojnih in elektro inštalacij. Vso tehnologijo opaževanja pripravi izvajalec.</t>
  </si>
  <si>
    <t>Dobava, montaža in demontaža ter čiščenje dvostranskega opaža do višine 3,75 m; AB stene podstrešje</t>
  </si>
  <si>
    <t>Dobava, montaža in demontaža ter čiščenje opaža za izvedbo AB stropne plošče dvigalnega jaška. V ceno zajeti izvedbo okvirjev za odprtine po načrtih  strojnih in elektro inštalacij. Vso tehnologijo opaževanja pripravi izvajalec.</t>
  </si>
  <si>
    <t>Dobava, montaža in demontaža ter čiščenje enostranskega opaža višine 25 cm, rob AB plošča</t>
  </si>
  <si>
    <t>Dobava, montaža in demontaža opaža za izvedbo AB notranjih stopnic vrtca.</t>
  </si>
  <si>
    <t>Dobava, montaža in demontaža opaža za izvedbo AB notranjih stopnic telovadnice.</t>
  </si>
  <si>
    <t>Dobava, montaža in demontaža opaža za izvedbo rekonstrukcije AB notranjih stopnic v obst. del šole.</t>
  </si>
  <si>
    <t>Dobava, montaža in demontaža opaža za izvedbo AB tribun.</t>
  </si>
  <si>
    <t>žagasta stena</t>
  </si>
  <si>
    <t>Dobava, montaža, demontaža lahkih premičnih odrov na kovinskih stolicah ali vozičkih višine do 10 m za vsa GOI dela v objektu; obračuna se enkratna površina telovadnice</t>
  </si>
  <si>
    <r>
      <rPr>
        <b/>
        <sz val="10"/>
        <rFont val="Arial Narrow"/>
        <family val="2"/>
        <charset val="238"/>
      </rPr>
      <t>OPOMBA:</t>
    </r>
    <r>
      <rPr>
        <sz val="10"/>
        <rFont val="Arial Narrow"/>
        <family val="2"/>
        <charset val="238"/>
      </rPr>
      <t xml:space="preserve"> Pri oblikovanju cene za posamezna dela morajo biti vključeni vsi potrebni transporti in material za izvedbo opisanih elementov konstrukcije, vsa pomožna dela in zidarska dela pri obrtniških in instalacijskih delih, potrebni odri ter horizontalni in vertikalni prenosi.
Vsi zidovi morajo biti sezidani popolnoma ravno in navpično. Stiki morajo biti popolnoma zaliti z malto in horizontalni, ne smejo biti debelejši kot 15 mm, odvečna malta iz stikov se mora odstraniti.  
Vse ometane površine morajo biti popolnoma ravne z enakomerno površinsko obdelavo. </t>
    </r>
  </si>
  <si>
    <r>
      <t>Kompletna dobava in zdelava notranjega strojnega ometa deb. 2 cm po sistemu npr. "Rofix" ali enakovrednem, s pripadajočimi ojačitvami vogalnikov in špalet s tipskimi profili, vključno z obdelavo špalet instalacijskih prebojev. V ceno zajeti vse prenose materiala, čiščenje po končanih delih in premaz betonskih površin s "Beton kontakt" ter vsa pomožna in pripravljalna dela.</t>
    </r>
    <r>
      <rPr>
        <b/>
        <sz val="10"/>
        <rFont val="Arial Narrow"/>
        <family val="2"/>
        <charset val="238"/>
      </rPr>
      <t xml:space="preserve"> </t>
    </r>
  </si>
  <si>
    <t>Kompletna dobava in vgradnja enoslojne horizontalne hidroizolacije na podložni beton oz. temeljno ploščo, polimerni bitumenski trakovi z vložkom poliesterskega traka npr. IZOTEKT P4 PLUS, popolno privariti s podlago, izdelava 10 cm preklopov v prečni in 15 cm v vzdolžni smeri, upoštevati obstenski zaključek min. 10 cm. Vključno z vsem potrebnim materialom, vsemi obdelavami prebojev in zaključkov, prenosi do mesta vgraditve, predhodnim finim čiščenjem ter z vsemi pomožnimi in pripravljalnimi deli.  V ceni zajeti tudi nanos hladnega bitumenskega premaza (npr. IBITOL) na suho in brezprašno površino betonske konstrukcije, poraba 0,3 l/m2, sušenje premaza 24 ur. Preklopi niso upoštevani.</t>
  </si>
  <si>
    <t>Kompletna dobava in vgradnja enoslojne vertikalne hidroizolacije vkopanih temeljev in zidov oz. cokelnega nastavka, polimerni bitumenski trakovi z vložkom poliesterskega traka npr. IZOTEKT P4 PLUS, popolno privariti s podlago, izdelava 10 cm preklopov v prečni in 15 cm v vzdolžni smeri. Vključno z vsem potrebnim materialom, vsemi obdelavami prebojev in zaključkov, prenosi do mesta vgraditve, predhodnim finim čiščenjem ter z vsemi pomožnimi in pripravljalnimi deli.  V ceni zajeti tudi nanos hladnega bitumenskega premaza (npr. IBITOL) na suho in brezprašno površino betonske konstrukcije, poraba 0,3 l/m2, sušenje premaza 24 ur. Preklopi niso upoštevani.</t>
  </si>
  <si>
    <t>debelina 20 cm…požarno stopnišče telovadnice</t>
  </si>
  <si>
    <t>Kompletna dobava zidakov, malte in zidanje zidov iz npr. Porotherm 30 Profi debeline 30 cm. Vključno z vsemi pripravljalnimi ter pomožnimi deli in materiali.</t>
  </si>
  <si>
    <t>Kompletna dobava zidakov, malte in zidanje zidov iz npr. Porotherm 20-50 Profi debeline 20 cm. Vključno z vsemi pripravljalnimi ter pomožnimi deli in materiali.</t>
  </si>
  <si>
    <t>Kompletna dobava zidakov, malte in zidanje zidov iz npr. Porotherm 25 Profi debeline 25 cm. Vključno z vsemi pripravljalnimi ter pomožnimi deli in materiali.</t>
  </si>
  <si>
    <t>l=125 cm; š=20 cm</t>
  </si>
  <si>
    <t>Kompletna dobava in vgradnja opečnih preklad 10/5,5 cm; npr. Wienerberger</t>
  </si>
  <si>
    <t>Kompletna dobava in vgradnja opečnih preklad 12/6,5 cm; npr. Wienerberger</t>
  </si>
  <si>
    <t>klet</t>
  </si>
  <si>
    <t>klet (T2.1) 9,2 cm</t>
  </si>
  <si>
    <t>klet (T2.2) 8,5 cm</t>
  </si>
  <si>
    <t>pritličje, nadstropje (T5.1, T5.2, T5.3) 6,4 cm</t>
  </si>
  <si>
    <t>pritličje (T6.2) 7,0-8,0 cm</t>
  </si>
  <si>
    <t>pritličje, nadstropje (T6.1, T6.3) 6,0-9,0 cm</t>
  </si>
  <si>
    <t>pritličje (T7.1) 13,1 cm</t>
  </si>
  <si>
    <t>pritličje (T7.2) 8,5 cm</t>
  </si>
  <si>
    <t>pritličje, nadstropje, podstrešje (T4.1, T4.2, T4.3) 6,6 cm</t>
  </si>
  <si>
    <t>dimenzije kanalov do 15x15 cm</t>
  </si>
  <si>
    <t>dimenzije kanalov do 30x15 cm</t>
  </si>
  <si>
    <t>Vzidave in zidarske obdelave elektro omaric, razdelilcev,
hidrantnih omar, vodomerov, regulacijskih in
tehnoloških naprav do velikosti 1,00 m2. Količina
ocenjena!</t>
  </si>
  <si>
    <t>Zidarska obdelava opečnih sten po prehodno izdolbljenih kanalih instalacijskih razvodov, špric in groba zidarska obdelava izdolbljenih kanalov v stenah. Količina
cenjena!</t>
  </si>
  <si>
    <t>Dolbljenje kanalov v opečnih stenah za vgraditev raznih ventilacijskih cevi. Količina ocenjena</t>
  </si>
  <si>
    <t>Kompletna izvedba brušenje AB stene, z vsemi pomožnimi, pripravljalnimi in zaključnimi deli in odri ter vsemi potrebnimi horizontalnimi in vertikalnimi transporti</t>
  </si>
  <si>
    <t>Izravanava površine zidov po obodu objekta s predhodno pripravo podlage, izdelava cementnega redkega obrizga in finega ometa s cementno rahlo podaljšano malto 1:3 skupaj z vsemi pomožnimi, pripravljalnimi in zaključnimi deli in odri ter vsemi potrebnimi horizontalnimi in vertikalnimi transporti: priprava površine za nanos vertikalne hidroizolacije; ocena; obračun po dejsnko izvedenem</t>
  </si>
  <si>
    <t>Razna gradbena pomoč v delu pri obrtniških in instalacijskih delih ter razna nepredvidena in dodatna dela. Obračun izvršiti na podlagi efektivnih ur po predhodnem vpisu nadzornega organa v gradbeni dnevnik, ocena števila ur</t>
  </si>
  <si>
    <r>
      <t>OPOMBA:</t>
    </r>
    <r>
      <rPr>
        <sz val="10"/>
        <rFont val="Arial Narrow"/>
        <family val="2"/>
        <charset val="238"/>
      </rPr>
      <t xml:space="preserve"> Pri celotni izvedbi kanalizacije potrebno upoštevati eventualna prilagajanja na licu mesta! Kote vtokov in iztokov jaškov prilagajati na terenu. Zajeta kanalizacija v temeljih do prvega priključnega jaška, ostalo v načrth strojnih instalacij in zunanje ureditve!</t>
    </r>
  </si>
  <si>
    <t>Cevi DN 125 mm</t>
  </si>
  <si>
    <t>Cevi DN 160 mm</t>
  </si>
  <si>
    <t>Kompletna dobava in vgradnja kanalizacijskih cevi za meteorno kanalizacijo v temeljih; vključno z vsemi potrebnimi fazonskimi kosi (se ne obračunavajo posebej), priključitvami, obdelavami priključkov…</t>
  </si>
  <si>
    <t>Cevi DN 200 mm</t>
  </si>
  <si>
    <t>Dobava in vgrajevanje revizijskega jaška iz BC fi 1000 mm, globine 1,15 m, vključno z izvedbo posteljice iz podložnega betona, priključkov, zaključnega zg. AB venca,  gumijasta KS tesnila, obdelava jaška, vgradnjo smradotesnega LTŽ pokrova 100/100; vgradnja jaška skladno z navodili proizvajalca.</t>
  </si>
  <si>
    <t>Dobava in vgrajevanje revizijskega jaška iz BC fi 800 mm, globine 1,27 m, vključno z izvedbo posteljice iz podložnega betona, priključkov, zaključnega zg. AB venca,  gumijasta KS tesnila, obdelava jaška, vgradnjo smradotesnega pokrova 80/80; pokrov mora omogočati izvedbo v tlaku, vgradnja jaška skladno z navodili proizvajalca.</t>
  </si>
  <si>
    <t>Dobava in vgrajevanje prostostoječega izločevalca NG3 brez usedalnika (npr. ACO d.o.o.), ki se vgradi v predhodno izveden betonski revizijski jašek; vgradnja lovilca olj in jaška skladno z navodili proizvajalca.</t>
  </si>
  <si>
    <t>Dobava in vgrajevanje polimernih betonskih kanalet V100S tip 0.0, nosilnost C250, LTŽ mostna rešetka; vključno obbetoniranje; talni iztok (ACO d.o.o.)</t>
  </si>
  <si>
    <t>Dobava in vgrajevanje revizijskega jaška iz BC fi 800 mm za dovod cevi v kotlovnici, globine 1,00 m, vključno z izvedbo posteljice iz podložnega betona, priključkov, zaključnega zg. AB venca,  gumijasta KS tesnila, obdelava jaška, vgradnjo smradotesnega pokrova 80/80; pokrov mora omogočati izvedbo v tlaku, vgradnja jaška skladno z navodili proizvajalca.</t>
  </si>
  <si>
    <t>fi 100</t>
  </si>
  <si>
    <t>Izvedba zaglajevanja AB talne plošče v garaži do črnega sijaja in izvedba končne impregnacije npr. Lithurin.</t>
  </si>
  <si>
    <t>Dobava, montaža in demontaža opaža za izvedbo montažnega dela AB tribun; tribune se lahko izvedejo prefabricirano ali pa na licu mesta; tehnologijo pripravi izvajalec del!</t>
  </si>
  <si>
    <t>Dobava in vgradnja trnov fi 16 dolžine 20 cm; pri montaži AB tribunskih montažnih elementov; ocena</t>
  </si>
  <si>
    <t>Priprava ležišča za montažo prefabriciranih elementov AB tribun v primeru izvedbe le teh; stik ležišča in AB elementov zalepiti z ustreznim lepilom; ocena</t>
  </si>
  <si>
    <r>
      <t>OPOMBA:</t>
    </r>
    <r>
      <rPr>
        <sz val="10"/>
        <rFont val="Arial Narrow"/>
        <family val="2"/>
        <charset val="238"/>
      </rPr>
      <t xml:space="preserve"> Dela izvajati točno po določilih in navodilih dobavitelja kritine z upoštevanjem veljavnih tehničnih predpisov in standardov. V enotno ceno posamezne postavke je vključeno tudi snemanje izmer na objektu. Pred pričetkom del je izvajalec dolžan vse mere preveriti na licu mesta! Vse barve potrdi investitor!</t>
    </r>
  </si>
  <si>
    <t>Letvanje strehe asimetrične dvokapnice v naklonu 12 in 23° z impregniranimi letvami 8/6 cm, pravokotno na špirovce, za pokrivanje z panelno kritino. Samo na delu vrtca. Vse izvajati skladno z navodili proizvajalca oz. dobavitelja.</t>
  </si>
  <si>
    <t>Kompletna dobava in polaganje tipskih linijskih snegolovov v barvi kritine; ocena</t>
  </si>
  <si>
    <t>Pokrivanje slemena s tipskim elementi za sleme, barva kot kritina, vključno z slemenskim prezračevalnim ALU trakom</t>
  </si>
  <si>
    <t xml:space="preserve">Kompletna dobava in montaža horizontalnih žlebov iz ALU pločevine deb 0,07 mm, r.š. ca. 50 cm, v barvi RAL vključen izrez za odtoke in mrežica na odtokih; vključno vso potrebno pritrjevanje, kljuke... </t>
  </si>
  <si>
    <t>Kompletna izdelava, dobava in montaža ALU odtočnih cevi fi 100 za odtok z strešin, v barvi RAL, vključno z vsemi fazonskimi kosi.  Vključno izvedba priključka na ravne žlebove in peskolove.</t>
  </si>
  <si>
    <t>Kompletna dobava in montaža ALU odkapne obrobe deb 0,07 mm po barvi RAL, r.š. cca. 30 cm, , v barvi RAL 9003 vključno z vsem potrebnim tesnjenjem z UV tesnilnimi masami. Nevidno pritrjevanje.</t>
  </si>
  <si>
    <t>parozaporni sloj: PE folija (npr. Bauder Super AL-E) d = 0,3 mm, prosto položena z zalepljenimi stiki z butilnim trakom - parotesna izvedba</t>
  </si>
  <si>
    <t>toplotna izolacija d = 20 cm (l ≤ 0,036 W/mK): strešne kompaktne plošče iz ekstrudiranega polistirena, v dveh slojih 2 × 10 cm, zgornja površina mora biti odporna proti točkovnim tlačnim obremenitvam (pohodnost v času montaže in za vzdrževalna dela), mehansko pritrjena (npr. URSA XPS N-III-L; XPS-EN-13164-E-T1-CS(10\Y)300-DS(TH)-DTL(2)5-WD(V)3-WL(T)0,7-FT2)</t>
  </si>
  <si>
    <t>UV odporna plastična strešna folija, ojačana s sintetično tkanino; npr. Bauder Thermoplan T 18 (FPO); v celoti izvedena po navodilih proizvajalca folije, barva biserno bela, mehansko pritrjena po EC1</t>
  </si>
  <si>
    <t>RAVNA STREHA NAD VHODOM</t>
  </si>
  <si>
    <t xml:space="preserve">Kompletna dobava, montaža in izdelava toplotne izolirane ravne strehe - sestav S1.2, v naklonu min. 2,0 % v sestavi, tlorisna površina (od spodaj navzgor);  </t>
  </si>
  <si>
    <t>filc 200 g</t>
  </si>
  <si>
    <t>Vključno komplet vertikalni zaključek atike, izolacija deb. 5 cm. Ob točkovnih odtokih naklonske plošče iz predmetne toplotne izolacije za preprečitev zastajanja vode na strehi. Potrebno je zagotoviti naklon vsaj 0,5% proti odtokom. Upoštevati tudi trikotno robitev za prehod hidroizolacije oz. trikotne letve vsaj 6/6 cm iz trdega izolacijskega sloja med horizontalno in vertikalno kritino. Upoštevati tudi obdelavo zaključka strešne folije na fasado, tipski detajli.
Vse kompletno z obdelavo vseh zaključkov (kupole),  spojev in prebojev (instalacije). Vse detajle izvajati po tipskih detajlih proizvajalca (npr. Bauder).
Obračun po tlorisni neto površini.</t>
  </si>
  <si>
    <t>Kompletna dobava, izdelava in montaža obrobe venca na strehi v naklonu 2% v sestavi:
* alu prašno barvana pločevina debeline 0,07 mm r.š. ca. 80 cm, v RAL barvi (določi projektant)
* točkovna podkonstrukcija vijačena v OSB plošče
* enoslojna polimer - bitumenska hidroizolacija Bauder varjena na OSB plošče
* vlagoodporne OSB plošce debeline 2,00 cm                                                                             * XPS do 5 cm                                                                                                     Vse detajle izvajati po tipskih detajlih proizvajalca (npr. Bauder)</t>
  </si>
  <si>
    <t>Kompletna dobava in montaža tipskega iztočnika npr. Bauder, odtočna cev vel. fi 100 mm iz  strehe iz posebnega propilena, s potrebno podkonstrukcijo, z zaščitno mrežo, z vsemi obdelavami in zaključki po navodilih proizvajalca Bauder.</t>
  </si>
  <si>
    <t>Kompletna dobava, dostava in montaža geotekstila 300 g, kot zaščita hidroizolacije pred nasutjem prodca</t>
  </si>
  <si>
    <t>Pomoč izvajalcem instalacij (pri izvedbi zaščite pred udarom strele na strehah, pri tesnenju prebojev za instalacije skozi streho).
Pomoč vključuje izdelavo in dobavo vsega potrebnega materiala in izvedbo tesnenja prebojev in sicer:
* tesnenje hidroizolacije,
* tesnenje parne zapore ali ovire,
* preprečitev nastanka toplotnih mostov oz. kondenza
* popravilo poškodb na strehi.</t>
  </si>
  <si>
    <t>pavšal</t>
  </si>
  <si>
    <t>Kompletna dobava, dostava in vgradnja prodca 16-32 mm, višina 5 cm</t>
  </si>
  <si>
    <t>Kompletna dobava in montaža ALU obrobe na stiku ravna streha - fasada deb 0,07 mm po barvi RAL, r.š. cca. 20 cm, v barvi RAL  vključno z vsem potrebnim tesnjenjem z UV tesnilnimi masami. Nevidno pritrjevanje.</t>
  </si>
  <si>
    <t>RAVNA STREHA DVIGALNI JAŠEK</t>
  </si>
  <si>
    <t xml:space="preserve">Kompletna dobava, montaža in izdelava toplotne izolirane ravne strehe - sestav S4.1, v naklonu min. 2,0 % v sestavi, tlorisna površina (od spodaj navzgor);  </t>
  </si>
  <si>
    <t>Upoštevati tudi obdelavo zaključka strešne folije na fasado, tipski detajli.
Vse kompletno z obdelavo vseh zaključkov (kupole),  spojev in prebojev (instalacije). Vse detajle izvajati po tipskih detajlih proizvajalca (npr. Bauder).
Ocena, upoštevati prilagajanja na obstoječo streho. Obračun po tlorisni neto površini.</t>
  </si>
  <si>
    <t xml:space="preserve">Kompletna dobava in montaža ALU obrobe na stiku ravna streha - fasada deb 0,07 mm po barvi RAL, r.š. cca. 20 cm, v barvi RAL  vključno z vsem potrebnim tesnjenjem z UV tesnilnimi masami. </t>
  </si>
  <si>
    <t>Kompletna dobava in montaža ALU obrobe na stiku nova streha - obstoječa streha deb 0,07 mm po barvi RAL, r.š. cca. 30 cm, v barvi RAL  vključno z vsem potrebnim tesnjenjem z UV tesnilnimi masami. Nevidno pritrjevanje.</t>
  </si>
  <si>
    <t>Kompletna dobava in montaža ALU obrobe na stiku obstoječa streha- nova fasada deb 0,07 mm po barvi RAL, r.š. cca. 80 cm, v barvi RAL  vključno z vsem potrebnim tesnjenjem z UV tesnilnimi masami. Ocena!</t>
  </si>
  <si>
    <t>Izdelava varnostnega prelivnega iztočnika vel. 40/10 cm; vključno z vsemi zatesnitvami. Obdelava vtočnika z Bauder folijo in ALU prašno barvano pločevino v RAL. Izvedba po navodilih/detajlih proizvajalca kritine. Max. 7 do 10 cm od kote strehe.</t>
  </si>
  <si>
    <r>
      <t>OPOMBA:</t>
    </r>
    <r>
      <rPr>
        <sz val="10"/>
        <rFont val="Arial Narrow"/>
        <family val="2"/>
        <charset val="238"/>
      </rPr>
      <t xml:space="preserve"> Pri vseh izdelkih je potrebno zajeti delavniške risbe, izdelavo, dobavo in montažo ter eventualno vzidavo, vse potrebno okovje in tesnila. Vse mere, količine in obdelave kontrolirati po zadnjih veljavnih načrtih, detajlih, shemah PZI, ki so sestavni del tega popisa oz. na gradbišču! Dimenzije mora določiti ali jih potrditi statik in to velja za vse dimenzije konstrukcijskih elementov.</t>
    </r>
  </si>
  <si>
    <t>Kompletna dobava in vgrajevanje armiranega betona C25/30, XC3, prereza 0,20 - 0,30 m3/m2,m1; zapolnitev jeklenih stebrov na notranjem stopnišču vrtca</t>
  </si>
  <si>
    <t xml:space="preserve">Kompletna izdelava antikorozijsko zaščitene jeklene konstrukcije iz hladno oblikovanih votlih profilov okroglega prereza S235 D=168,3 mm, s=8 mm; A=40,3 cm2; 31,6 kg/m1. Finalno barvano po RAL, potrdi pooblaščeni arhitekt. Obračun po dejanskih kg. Delavniški načrt izdela izvajalec del, potrdi ga pooblaščeni inženir gradbenih konstrukcij. Konstrukcija na notranjem stopnišču vrtca. </t>
  </si>
  <si>
    <t>Kompletna izdelava in montaža antikorozijsko zaščitene jeklene konstrukcije na terasi oz. južni fasadi vrtca iz hladno oblikovanih votlih profilov okroglega prereza S235 D=168,3 mm, s=8 mm; A=40,3 cm2; 31,6 kg/m1 in S235 D=219,1 mm, s=10 mm; A=65,7 cm2; 51,6 kg/m1. Vključno profili HEA 140, in zatege fi20-S235, za izvdbo zavetrovanja stebrov. Stebri finalno barvani po RAL, potrdi pooblaščeni arhitekt. Obračun po dejanskih kg. Delavniški načrt izdela izvajalec del, potrdi ga pooblaščeni inženir gradbenih konstrukcij. Konstrukcija na južni fasadi vrtca.</t>
  </si>
  <si>
    <t>Kompletna izdelava antikorozijsko (A2.01) zaščitene jeklene strešne konstrukcije iz jeklenih primarnih paličnih nosilcev, strešnih sekundarnih nosilcev, zavetrovanja. Palična konstrukcija je sestavljena iz jeklenih profilov HEB 180 in HEB 140. Profili paličnih nosilcev so medsebojno varjeni, predvideni so tudi vijačni spoji. Strešna konstrukcija je sestavljena iz HEB 140 in medsebojno zavetrovana z zategami fi 16. Palični nosilci so preko predhodno vgrajenih sider sidrani na stebre konstrukcije, Vijačeni spoji so iz vijakov M12, M16, M20m Hilti HIT HY200+HIT-Z M12. Jeklo je kvalitete S235 JR, vijaki in sidra kvalitete 8.8. Razred izvedbe EXC2. Obračun po dejanskih kg. Delavniški načrt izdela izvajalec del, potrdi ga pooblaščeni inženir gradbenih konstrukcij.</t>
  </si>
  <si>
    <t>Kompletna dobava in vgrajevanje armiranega betona C25/30, XC3, prereza 0,20 - 0,30 m3/m2,m1; zapolnitev jeklenih stebrov na terasi vrtca</t>
  </si>
  <si>
    <t>Kompletna dobava in vgrajevanje armiranega betona C30/37, XC2, prereza 0,20 - 0,30 m3/m2,m1; AB temeljna plošča telovadnica</t>
  </si>
  <si>
    <t>Kompletna dobava in vgrajevanje armiranega betona C30/37, XC2, prereza 0,20 - 0,30 m3/m2,m1; AB temeljna plošča garaža</t>
  </si>
  <si>
    <t>Kompletna dobava in vgrajevanje armiranega betona C30/37, XC2, prereza nad 0,30 m3/m2,m1; AB temeljna plošča telovadnice</t>
  </si>
  <si>
    <t>Dodatek xypeks, za zagotavljanje vodotesnoti betona; plošča garaže, stene garaže-vkopane stene; točen obseg določiti ob izvedbi projekta betona</t>
  </si>
  <si>
    <t>Kompletna dobava in vgradnja in vgradnja pocinkanih L profilov 50/30/3 mm, skupne dolžine 740 cm, vgrajenih v rob AB konstrukcije predpražnika, vključno s sidri ali vijačeno.</t>
  </si>
  <si>
    <t>O1_160/160 cm; 2-delno okno; 1x krilno in ventus; 1x fix</t>
  </si>
  <si>
    <t>O2_280/160 cm; 2-delno okno; 1x krilno in ventus; 1x fix</t>
  </si>
  <si>
    <t>O3_320/160 cm; 2-delno okno; 1x krilno in ventus; 1x fix</t>
  </si>
  <si>
    <t>O4_380/160 cm; 3-delno okno; 2x krilno in ventus; 1x fix</t>
  </si>
  <si>
    <t>O4a_380/110 cm; 3-delno okno; 2x krilno in ventus; 1x fix</t>
  </si>
  <si>
    <t>O5_110/220 cm; 2-delno okno; 1x krilno in ventus; 1x fix</t>
  </si>
  <si>
    <t>O6_110/250 cm; 2-delno okno; 1x krilno in ventus; 1x fix</t>
  </si>
  <si>
    <t>ON1_118-133/140 cm</t>
  </si>
  <si>
    <t>ON2_161-186/155 cm</t>
  </si>
  <si>
    <t>ON3_161-184/140 cm</t>
  </si>
  <si>
    <t>SS1_330-360/550 cm; 9-delno okno, 8x fix, 1x odpiranje krilno na el. motor</t>
  </si>
  <si>
    <t>SS2_330-360/550 cm; 9-delno okno, 8x fix, 1x odpiranje krilno na el. motor</t>
  </si>
  <si>
    <t>SS3_340-360/550 cm; 9-delno okno, 9x fix</t>
  </si>
  <si>
    <t>SS4_340-360/550 cm; 9-delno okno, 9x fix</t>
  </si>
  <si>
    <t>Vz6_306-320/260 cm; 2-delna stena; 1x fix, 1x krilno (2x1/2)</t>
  </si>
  <si>
    <t>Vz7_306-320/260 cm; 2-delna stena; 1x fix, 1x krilno (2x1/2)</t>
  </si>
  <si>
    <t>Vz10_610/247 cm</t>
  </si>
  <si>
    <t>ALU stavbno pohištvo</t>
  </si>
  <si>
    <t>SKUPAJ ALU STAVBNO POHIŠTVO:</t>
  </si>
  <si>
    <t>Sekcijska vrata za industrijsko uporabo z vratnim krilom, ki je sestavljeno iz jeklenega lamelnega podnožja višine 500 mm, z vtisnjeno strukturo (stucco).
APU F42 SEKCIJSKA IND. VRATA PARAPET 500 mm STUCCO 6100X2300                                                                                                                         L OKOVJE (L1) vzmeti za 50.000 odpiranj stucco, ral 9007 , parapet 500 mm potreben prostor levo 130 mm, desno 210 mm, na prekladi 220 mm.                                                                                                                          TANDEM KOLEŠČKI, POCINKANI 8 kos                                                                     DODATNA PREČKA 4 kos                                                                                         POLNILO MREŽA, ZRAČNOST 58% LEGIRANO JEKLO 18 kos                DODATNI ALU OKVIR 26mm APU F42                                                                              POGON WA500FU, 560, IP65, 230V VERIŽNIK                                                    VERIGA ZA ODPIRANJE V SILI                                                                          FOTOCELICE ODBOJNE RL50                                                                      SPREJEMNIK HE3 BS                                                                                      ODDAJNIK 4-KANALNI HSE4 BS ČRN PLASTIČEN POKROV VARNOSTNI ODDAJNIK HSS4 BS RDEČ                                                                    MONT. SEKC.IND. VRAT do 6500x3000mm H,HD,VU,L,V,NA MONTAŽA INDUSTRIJSKEGA MOTORJA                                                                     MONTAŽA ODBOJNIH FOTOCELIC</t>
  </si>
  <si>
    <t>VN1_80/220 cm</t>
  </si>
  <si>
    <t>Izdelava, dobava in montaža notranjih kovinskih vrat, vgradne mere, z kovinskim objemnim podbojem, vratno krilo kovinsko polnilo, zaključki kovinski, suhomontažna vgradnja, s pragom, trojna nasadila, okovje standardno, kljuka enostavne oblike, krtačen krom, ločen ščit ključavnice, kot npr. Hoppe, cilindrična ključavnica, sistemski ključ, podboji kovinski, barvani v barvi po izbiri arhitekta, vključno z vsem pritrdilnim in tesnilnim materialom ter transporti, izvedba vrat po priloženih shemah, širina zidu 20 cm</t>
  </si>
  <si>
    <t>VN2_90/220 cm, širina zidu 20 cm</t>
  </si>
  <si>
    <t>VN4_100/220 cm, širina zidu 20 cm</t>
  </si>
  <si>
    <t>VN4a_100/220 cm, širina zidu 25 cm</t>
  </si>
  <si>
    <t>Izdelava, dobava in montaža notranjih lesenih vrat, vgradne mere, z kovinskim objemnim podbojem, vratno krilo s sredico iz polne perforirane plošče obloženo z laminatom, zaključki masivni leseni, krilo brez brazde, suhomontažna vgradnja, trojna nasadila, okovje standardno, kljuka enostavne oblike, krtačen krom, ločen ščit ključavnice, kot npr. Hoppe, cilindrična ključavnica, sistemski ključ, zaključna letev šir. 7cm, podboji kovinski, barvani v barvi po izbiri arhitekta, vključno z vsem pritrdilnim in tesnilnim materialom ter transporti, izvedba vrat po izbiri arhitekta in priloženih shemah.</t>
  </si>
  <si>
    <t>zvočna izolirnost Rw ≥ 32 dB izvedba vrat</t>
  </si>
  <si>
    <t>Izdelava, dobava in montaža notranjih lesenih vrat, vgradne mere, z kovinskim objemnim podbojem, vratno krilo s sredico iz polne perforirane plošče obloženo z laminatom, nadsvetloba varnostno termoizolacijsko steklo, zaključki masivni leseni, krilo brez brazde, suhomontažna vgradnja, trojna nasadila, okovje standardno, kljuka enostavne oblike, krtačen krom, ločen ščit ključavnice, kot npr. Hoppe, cilindrična ključavnica, sistemski ključ, zaključna letev šir. 7cm, podboji kovinski, barvani v barvi po izbiri arhitekta, vključno z vsem pritrdilnim in tesnilnim materialom ter transporti, po izbiri arhitekta in priloženih shemah.</t>
  </si>
  <si>
    <t>VN5_90/300 cm, (nadsvetloba ca. 80/100 cm), širina zidu 15 cm</t>
  </si>
  <si>
    <t>VN7_160/260 cm EI30 SC</t>
  </si>
  <si>
    <t>VN8_160/300 cm EI30 SC</t>
  </si>
  <si>
    <t>VN9_160/300 cm</t>
  </si>
  <si>
    <t>VZ4_120/260 cm; rešetki na vratih 2x min 60/25 cm; enokrilna vrata; vrata na evakuaciji poti, odpiranje po SIST EN 1125</t>
  </si>
  <si>
    <t>VZ5_220/220 cm; dvokrilna vrata; vrata na evakuaciji poti, odpiranje po SIST EN 1125</t>
  </si>
  <si>
    <t>VZ3_110/260 cm; vrata na evakuaciji poti, odpiranje po SIST EN 1125</t>
  </si>
  <si>
    <t>Vz8_376-366/260 cm; 3-delna stena; 2x fix, 1x krilno (2x1/2); vrata na evakuaciji poti, odpiranje po SIST EN 1125</t>
  </si>
  <si>
    <t>Izdelava, dobava in montaža notranjih lesenih požarnih vrat EI 30 SC, vgradne mere, z kovinskim objemnim podbojem, vratno krilo obloženo z laminatom, zaključki masivni leseni, krilo brez brazde, suhomontažna vgradnja, trojna nasadila, okovje standardno, kljuka enostavne oblike, krtačen krom, ločen ščit ključavnice, kot npr. Hoppe, cilindrična ključavnica, sistemski ključ, zaključna letev šir. 7cm, podboji kovinski, barvani v barvi po izbiri arhitekta, vključno z vsem pritrdilnim in tesnilnim materialom ter transporti, izvedba vrat po izbiri arhitekta in priloženih shemah, širina zidu 20 in 25 cm, samozapiralo</t>
  </si>
  <si>
    <t>VN3_100/220 cm EI30 SC, širina zidu 20 cm</t>
  </si>
  <si>
    <t>VN3a_100/220 cm EI30 SC, širina zidu 25 cm</t>
  </si>
  <si>
    <t>VN6a_100/300 cm, (nadsvetloba ca. 80/100 cm), širina zidu 15 cm; vrata  na strani kjer so nameščeni tečaji morajo imeti zaščito pred poškodbo prstov na roki</t>
  </si>
  <si>
    <t>Izdelava, dobava in montaža notranjih steklenih vrat, vgradne mere, z kovinskim objemnim podbojem, vratno krilo varnostno termoizolacijsko lepljeno kajleno steklo d=10 mm, nadsvetloba steklo, trojna nasadila, okovje standardno, kljuka enostavne oblike, krtačen krom, ločen ščit ključavnice, kot npr. Hoppe, cilindrična ključavnica, sistemski ključ, zaključna letev šir. 7cm, podboji kovinski, barvani v barvi po izbiri arhitekta, vključno z vsem pritrdilnim in tesnilnim materialom ter transporti, zvočna izolirnost Rw ≥ 32 dB, po izbiri arhitekta in priloženih shemah.</t>
  </si>
  <si>
    <t>VN6_100/300 cm, (nadsvetloba ca. 80/100 cm), širina zidu 15 cm, ; vrata  na strani kjer so nameščeni tečaji morajo imeti zaščito pred poškodbo prstov na roki, zvočna izolirnost Rw ≥ 32 dB</t>
  </si>
  <si>
    <r>
      <rPr>
        <b/>
        <sz val="10"/>
        <rFont val="Arial Narrow"/>
        <family val="2"/>
        <charset val="238"/>
      </rPr>
      <t xml:space="preserve">OPOMBA: </t>
    </r>
    <r>
      <rPr>
        <sz val="10"/>
        <rFont val="Arial Narrow"/>
        <family val="2"/>
        <charset val="238"/>
      </rPr>
      <t xml:space="preserve"> V ceni vseh postavk zajeti vsa dela, vse prenose in prevoze na gradbišču; ves osnovni, pomožni, tesnilni in sidrni material. Vsa dela se morajo izvajati v skladu z načrtom, tehničnim poročilom ter standardi in predpisi. V cenah je potrebno zajeti tudi eventuelno uporabo fasadnih ali pomičnih odrov.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za toplotno prehodnost in zaščito pred vlago skladno s predpisi. V ceni je potrebno zajeti vse eventuelne potrebne slepe okvirje in razširitve.Vsi elementi morajo biti dobavljeni z gradbiščnim ključavničnim vložkom. Ne glede na spodaj navedeno, je izvajalec dolžan upoštevati NPV in elaborat zaščite pred hrupom v stavbah! Po končani gradnji, pred prevzemom del se izdelke pregleda, nastavi okovje, počisti pripire elementov z odpiranjem in odstrani zaščito. Pred naročilom elementov oken in vrat mora izvajalec pridobiti potrdilo investitorja!</t>
    </r>
  </si>
  <si>
    <r>
      <rPr>
        <b/>
        <sz val="10"/>
        <rFont val="Arial Narrow"/>
        <family val="2"/>
        <charset val="238"/>
      </rPr>
      <t xml:space="preserve">OPOMBA: </t>
    </r>
    <r>
      <rPr>
        <sz val="10"/>
        <rFont val="Arial Narrow"/>
        <family val="2"/>
        <charset val="238"/>
      </rPr>
      <t xml:space="preserve"> V ceni vseh postavk zajeti vsa dela, vse prenose in prevoze na gradbišču; ves osnovni, pomožni, tesnilni in sidrni material. Vsa dela se morajo izvajati v skladu z načrtom, tehničnim poročilom ter standardi in predpisi. V cenah je potrebno zajeti tudi eventuelno uporabo fasadnih ali pomičnih odrov. Sistemske rešitve morajo biti odobrene s strani projektanta, na podlagi delavniškega načrta elementov, ki ga izdela izvajalec in je zajet v ceni. Pred naročilom mora izvajalec preveriti količine in dimenzije. Zasteklitve in polnila ter elementi kot celota morajo biti certificirani za toplotno prehodnost in zaščito pred vlago skladno s predpisi. V ceni je potrebno zajeti vse eventuelne potrebne slepe okvirje in razširitve.Vsi elementi morajo biti dobavljeni z gradbiščnim ključavničnim vložkom.  Ne glede na spodaj navedeno, je izvajalec dolžan upoštevati NPV in elaborat zaščite pred hrupom v stavbah! Po končani gradnji, pred prevzemom del se izdelke pregleda, nastavi okovje, počisti pripire elementov z odpiranjem in odstrani zaščito. Pred naročilom elementov oken in vrat mora izvajalec pridobiti potrdilo investitorja!</t>
    </r>
  </si>
  <si>
    <t>VN13_237/250 cm EI30 SC</t>
  </si>
  <si>
    <t>VN12a_180/300 cm</t>
  </si>
  <si>
    <t>VN12_180/300 cm, vrata na evakuacijski poti odpiranje po SIST EN 0179</t>
  </si>
  <si>
    <t>VN11_180/300 cm</t>
  </si>
  <si>
    <t>VN14_237/318 cm EI30 SC; nadsvetloba 237/98 cm</t>
  </si>
  <si>
    <t>VN10_180/220 cm</t>
  </si>
  <si>
    <t>VN16_415/300 cm…vrata 200/220 cm; ostalo fix</t>
  </si>
  <si>
    <t>VN18_80/220 cm, širina zidu 15 cm</t>
  </si>
  <si>
    <t>Izdelava, dobava in montaža notranjih drsnih lesenih vrat, vratno krilo s sredico iz polne perforirane plošče obloženo z ultrapasom, suhomontažna vgradnja, trojna nasadila, drsna vodila zgoraj, okovje standardno, kljuka utopni ročaj, krtačen krom, cilindrična ključavnica, sistemski ključ, podboji kovinski, barvani v barvi po izbiri arhitekta, vključno z vsem pritrdilnim in tesnilnim materialom ter transporti, izvedba vrat po izbiri arhitekta in priloženih shemah.</t>
  </si>
  <si>
    <t>VN19_100/220 cm</t>
  </si>
  <si>
    <t>Kompletna dobava, dostava in montaža dimnikov npr. Schiedel UNI plus EZ18-20 ali enakovredno; za peč na pelete; vključno z vsemi pripadajočimi elementi: podstavek kondenzne posode UNI ISO PLUS, cev keramična ISO 2 fi 20, izolacija UNI PLUS 20 DP-10, osnovni paket UNI ISO plus 20, priključek za vratca ISO 2 FI
20, PA-paket 33 cm, priključek za peč ISO fi 20 90°, KIT tesnilni rapid, paket konusa 33 cm UNI ISO 20, set pritrd. za krov. plošč., malta Kemamix G-Schiedel, plošča GFB-SST EZ 18-20 B, držalo dimnika standard, ojačitveni set 4x4 m, m12m; podstavek UNI plus EZ 18-20, set zaščitni za priključ. RA 20, reg. vleka z eks. lop+adapter 20.... Vse skladno z navodili proizvajalca.</t>
  </si>
  <si>
    <r>
      <t>m</t>
    </r>
    <r>
      <rPr>
        <vertAlign val="superscript"/>
        <sz val="10"/>
        <rFont val="Arial Narrow"/>
        <family val="2"/>
        <charset val="238"/>
      </rPr>
      <t>2</t>
    </r>
  </si>
  <si>
    <r>
      <t xml:space="preserve">Kompletna dobava in polaganje notranjih </t>
    </r>
    <r>
      <rPr>
        <u/>
        <sz val="10"/>
        <rFont val="Arial Narrow"/>
        <family val="2"/>
        <charset val="238"/>
      </rPr>
      <t>talnih</t>
    </r>
    <r>
      <rPr>
        <sz val="10"/>
        <rFont val="Arial Narrow"/>
        <family val="2"/>
        <charset val="238"/>
      </rPr>
      <t xml:space="preserve"> ploščic:
* polno lepljene na pripravljeno podlago, vključno s poglobljenim fugiranjem:
* polaganje vodoravno fuge enakomerno debele
* barva in širina fuge: po izboru arhitekta                                                                               * v postavko vključene pripadajoče talne zaokrožnice na stiku z stensko keramiko                                                                                                          * tla morajo biti skrbno izvedena z 1% nagibom proti talnemu sifonu. 20 cm okoli talnega sifona mora biti dodatni 1% naklon, tako da odtok vedno pride na najnižjo točko v prostoru                                                                          *mehansko odporna nedrseča keramika 1. kvalitete npr. Cerim ali CasalGrande Padana, večji format (60/60 cm). Izvajalec pripravi vzorce - potrdi arhitekt. </t>
    </r>
  </si>
  <si>
    <t>klet; kotlovnica</t>
  </si>
  <si>
    <t xml:space="preserve">pritličje </t>
  </si>
  <si>
    <t>pritličje; sanitarije igralnice, zunanji WC</t>
  </si>
  <si>
    <t>nadstropje</t>
  </si>
  <si>
    <t>nadstropje; sanitarije igralnice</t>
  </si>
  <si>
    <t xml:space="preserve">Izvedba vodotesne zaščite v dveh nanosih s kovinsko gladilko ali strojno napravo za brizganje, z dvokomponentno, visoko prilagodljivo malto na osnovi cementnega veziva, izbranih finih polnil, specialnih dodatkov in sintetičnih polimerov v vodni disperziji skupne debeline najmanj 2 mm (kot npr. MAPEI Mapelastic). Upoštevati obstenski zaključek min. 10 cm, uporaba trakov proizvajalca (npr. Mapeband).  Izvedba skladno z navodili proizvajalca. </t>
  </si>
  <si>
    <t xml:space="preserve">Stenske ploščice kopalnic v barvi po izboru arhitekta. Izvajalec pripravi enakovredne vzorce - izbor potrdi arhitekt. </t>
  </si>
  <si>
    <t>klet; sanitarije</t>
  </si>
  <si>
    <t>pritličje; otroške sanitarije</t>
  </si>
  <si>
    <t>pritličje; čistila, razdelilna kuhinja</t>
  </si>
  <si>
    <t>nadstropje; otroške sanitarije</t>
  </si>
  <si>
    <t>nadstropje; ostali prostori</t>
  </si>
  <si>
    <r>
      <t xml:space="preserve">Kompletna dobava in polaganje notranjih </t>
    </r>
    <r>
      <rPr>
        <u/>
        <sz val="10"/>
        <rFont val="Arial Narrow"/>
        <family val="2"/>
        <charset val="238"/>
      </rPr>
      <t>stenskih</t>
    </r>
    <r>
      <rPr>
        <sz val="10"/>
        <rFont val="Arial Narrow"/>
        <family val="2"/>
        <charset val="238"/>
      </rPr>
      <t xml:space="preserve"> ploščic:
* polno lepljene na pripravljeno podlago, vključno s poglobljenim fugiranjem
* polaganje skladno s posebnim načrtom oz. navodili arhitekta,
* barva in širina fuge: po izboru projektanta/investitorja,
* vogalni profili po izboru arhitekta                                                                             * v ceno vključiti zgornje zaključne profile                                                     * keramika 1. kvalitete npr. Cerim ali CasalGrande Padana, večji format (30/60 ali 60/60 cm). Izvajalec pripravi vzorce - potrdi arhitekt. </t>
    </r>
  </si>
  <si>
    <r>
      <t>OPOMBA:</t>
    </r>
    <r>
      <rPr>
        <sz val="10"/>
        <rFont val="Arial Narrow"/>
        <family val="2"/>
        <charset val="238"/>
      </rPr>
      <t xml:space="preserve"> Izvajalec mora pred pričetkom del opozoriti gradbeno vodstvo oziroma nadzor na eventuelne pomanjkljivosti, ki bi utegnile kvarno vplivati na brezhibno vgradnjo. Kasnejše izgovori o pomanjkljivi podlagi bodo smatrani za brezpredmetne. 
Vsa pomožna dela in materiali so vključeni v enotno ceno izdelka. Vrsto, kvaliteto in način polaganja tlaka določi/potrdi projektant. Vse količine pred naročilom obvezno preveri izvajalec del! Upoštevati vse višinske spremembe tlakov.</t>
    </r>
  </si>
  <si>
    <t>pritličje_P17, P18, P20</t>
  </si>
  <si>
    <t>pritličje_ostali prostori</t>
  </si>
  <si>
    <t>nadstropje_N14, N15, N17</t>
  </si>
  <si>
    <t>nadstropje_ostali prostori</t>
  </si>
  <si>
    <t>Ps1 - 55/210 cm</t>
  </si>
  <si>
    <t>Ps2 - 55/140 cm</t>
  </si>
  <si>
    <t>Kompletna dobava in montaža pregradnih sten med pisoarji. Stene debeline 13-15 mm                                                                                                     stena: obojestransko laminirana kompaktna plošča barvana v masi (solidcore); deb. pl. 13-15mm
okovje: RF kovinske višinsko nastavljive nogice; L izvedba nogice, kvaliteta jekla AISI 304; brušena mat finalna
obdelava; proizvajalec kot Ramainox                                                                      kljuka/ročaj: /
odpiranje: /
dodatna oprema: /
pritrditev: točkovno s tipskim RF okovjem v MKP/leseno steno in tlak
opombe in posebnosti: struktura, ton in uporabljeni materiali so določeni v barvni karti in jih pred izvedbo pisno potrdi arhitekt na osnovi vzorca! Izvajalec izdela delavniško dokumentacijo in vzorec, ki ga pred izvedbo potrdi arhitekt!
Vse mere je pred izvedbo potrebno preveriti na mestu po
izvršenih gradbenih delih!</t>
  </si>
  <si>
    <t>Ps3 - 75/210 cm; vrata 60/200 cm</t>
  </si>
  <si>
    <t>Kompletna dobava in montaža pregradnih sten med pisoarji.                                   stena: obojestransko laminirana kompaktna plošča barvana v masi (solidcore); deb. pl. 13-15mm
okovje: RF kovinske višinsko nastavljive nogice; L izvedba nogice, kvaliteta jekla AISI 304; brušena mat finalna
obdelava; proizvajalec kot npr. Ramainox                                                                      kljuka/ročaj: tipski ročaj za zaklepanje od znotraj - metuljček
odpiranje: klasično odpiranje
dodatna oprema: guma proti priprtju prstov
pritrditev: točkovno s tipskim RF okovjem v MKP steno in tlak
opombe in posebnosti: struktura, ton in uporabljeni materiali so določeni v barvni karti in jih pred izvedbo pisno potrdi arhitekt na osnovi vzorca! Izvajalec izdela delavniško dokumentacijo in vzorec, ki ga pred izvedbo potrdi arhitekt!
Vse mere je pred izvedbo potrebno preveriti na mestu po
izvršenih gradbenih delih!</t>
  </si>
  <si>
    <t>Ps4 - 153/210 cm; vrata 60/200 cm</t>
  </si>
  <si>
    <t>Ps5 - 120+64/210 cm; vrata 60/200 cm</t>
  </si>
  <si>
    <t>Ps6 - 227/210 cm; vrata 2x60/200 cm + 83/210 cm (samo stena)</t>
  </si>
  <si>
    <t>Ps9 - 244/210 cm; vrata 3x60/200 cm + 2x110/210 cm (samo stena)</t>
  </si>
  <si>
    <t>Ps10 - 332/140 cm; vrata 4x60/130 cm + 3x110/140 cm (samo stena)</t>
  </si>
  <si>
    <t>stopnice TV</t>
  </si>
  <si>
    <t>stopnice TV_podesti</t>
  </si>
  <si>
    <t>tribune</t>
  </si>
  <si>
    <r>
      <t>OPOMBA:</t>
    </r>
    <r>
      <rPr>
        <sz val="10"/>
        <rFont val="Arial Narrow"/>
        <family val="2"/>
        <charset val="238"/>
      </rPr>
      <t xml:space="preserve"> Vsa dela se morajo izvajati v skladu z načrti, tehničnim poročilom, načrtom požarne varnosti ter standardi in predpisi. Tipski kovinski profili, pritrdila, spojni in vezni material, vogalni ojačilni profili in bandažiranje, so zajeti v ceni. Inštalacijski preboji se ne odštevajo od površin, ker je v ceni zajet prehod instalacij. Podkonstrukcija stenskih elementov mora biti z rastrom prilagojena višini in namenu prostorov. Vse količine pred naročilom in izvedbo obvezno preveri izvajalec del! </t>
    </r>
  </si>
  <si>
    <r>
      <t>OPOMBA:</t>
    </r>
    <r>
      <rPr>
        <sz val="10"/>
        <rFont val="Arial Narrow"/>
        <family val="2"/>
        <charset val="238"/>
      </rPr>
      <t xml:space="preserve"> Izvajalec slikarskih del mora pred pričetkom dela  pregledati vse površine, ki bodo slikane in opozoriti izvajalca gradbenih del, da se odstranijo eventuelne pomanjkljivosti, ki jih je opazil in katere bi utegnile kvarno vplivati na brezhibno izvršitev in kvaliteto slikarskih del. 
Kvaliteta izvršenega dela mora biti brezhibna. Vse slikane površine morajo biti enakomerne, brez temnih ali svetlih lis, madežev, sledov po čopiču ali podobnih pomanjkljivosti. Barve oziroma barvne odtenke odobri projektant. Izvajalec mora na zahtevo projektanta napraviti brezplačne vzorce. 
Izvajalec slikarskih del mora strogo paziti na to, da s svojim delom ne poškoduje ali onesnaži izdelkov drugih izvajalcev, po potrebi mora le-te ustrezno zaščititi. Izlivanje barv, beleža in drugega slikarskega materiala v vodovodne ali straniščne školjke ni dovoljeno za škodo odgovarja izvajalec slikarskih del, prav tako odgovarja za škodo, ki bi nastala zaradi nepazljivosti ali malomarnega dela. Po izvršenem delu mora izvajalec slikarskih del odstraniti ves preostali material. Vse količine pred naročilom obvezno preveri izvajalec del! Kvaliteto in ton barve v skladu z barvnim konceptom določi/potrdi projektant oz. investitor!</t>
    </r>
  </si>
  <si>
    <t>Ps7 - 166/140 cm; vrata 2x60/130 cm + 110/140 cm (samo stena)</t>
  </si>
  <si>
    <t>Ps8 - 162/140 cm; vrata 2x60/130 cm + 110/140 cm (samo stena)</t>
  </si>
  <si>
    <t>Kompletna dobava in montaža pregradnih sten med pisoarji.                                   stena: obojestransko laminirana kompaktna plošča barvana v masi (solidcore); deb. pl. 13-15mm
okovje: RF kovinske višinsko nastavljive nogice; L izvedba nogice, kvaliteta jekla AISI 304; brušena mat finalna
obdelava; proizvajalec kot npr. Ramainox                                                                      kljuka/ročaj: izrez v vratnem krilu FI 100mm; min. posneti robovi
odpiranje: klasično odpiranje
dodatna oprema: guma proti priprtju prstov
pritrditev: točkovno s tipskim RF okovjem v MKP steno in tlak
opombe in posebnosti: struktura, ton in uporabljeni materiali so določeni v barvni karti in jih pred izvedbo pisno potrdi arhitekt na osnovi vzorca! Izvajalec izdela delavniško dokumentacijo in vzorec, ki ga pred izvedbo potrdi arhitekt!
Vse mere je pred izvedbo potrebno preveriti na mestu po
izvršenih gradbenih delih!</t>
  </si>
  <si>
    <t>Kompletna izvedba samostoječe mavčno kartonske stenske obloge s stenskimi profili CW, sestav ZN3:
2x mavčno kartonske plošče (GKB), d=12,5mm, plošče direktno vijačene na podkonstrukcijo, vmes toplotna izolacija npr. KI mineralna volna Naturboard fit 5 cm, stiki bandažirani in kitani (kvalitete Q3)
Vključno z vsemi pomožnimi, pripravljalnimi in zaključnimi deli ter vsemi potrebnimi horizontalnimi in vertikalnimi transporti!</t>
  </si>
  <si>
    <t>Kompletna izvedba samostoječe mavčno kartonske stenske obloge s stenskimi profili CW, sestav ZN3.a:
2x vlagoodporne mavčno kartonske plošče (GKBI), d=12,5mm, plošče direktno vijačene na podkonstrukcijo, vmes toplotna izolacija npr. KI mineralna volna Naturboard fit 5 cm, stiki bandažirani in kitani (kvalitete Q3)
Vključno z vsemi pomožnimi, pripravljalnimi in zaključnimi deli ter vsemi potrebnimi horizontalnimi in vertikalnimi transporti!</t>
  </si>
  <si>
    <t>Kompletna izvedba mavčno kartonske predelne stene (ZN3.2) v skupni debelini 15 cm, sestave;                                                                                                                ▪ mavčno kartonske plošče (GKB) položene križno na spodnji stik, d=2x12,5mm na Alu podkonstrukciji, stiki bandažirani in kitani, v mokrih prostorih 1 plošča vlagoodporna (GKFI), npr. Knauf sistem W112 ali enakovredno
▪ podkonstrukcija: iz pocinkanih ploč. profilov na razstojih 62.5 cm, med stojke je vstavljen vpenjalni (samonosni) filc iz steklene volne, razred A1 po SIST EN-13501-1,med podkonstrukcijo topolotna izolacija  λ = 0,038W/mK, debelina 100 mm, kot. npr. Knauf Insulation Naturboard fit ali enakovredno).
▪ mavčno kartonske plošče (GKB) položene križno na spodnji stik, d=2x12,5mm na Alu podkonstrukciji, stiki bandažirani in kitani, v mokrih prostorih 1 plošča vlagoodporna (GKFI), npr. Knauf sistem W112 ali enakovredno
Vključno z vsemi izvedbami za okvirje vrat ter pomožnimi, pripravljalnimi in zaključnimi deli ter vsemi potrebnimi horizontalnimi in vertikalnimi transporti!</t>
  </si>
  <si>
    <t>Kompletna izvedba mavčno kartonske predelne stene (ZN3.1) v skupni debelini 10 cm, sestave;                                                                                                                ▪ mavčno kartonske vlagoodporne plošče (GKBI) položene križno na spodnji stik, d=2x12,5mm na Alu podkonstrukciji, stiki bandažirani in kitani, ), npr. Knauf sistem W112 ali enakovredno
▪ podkonstrukcija: iz pocinkanih ploč. profilov na razstojih 62.5 cm, med stojke je vstavljen vpenjalni (samonosni) filc iz steklene volne, razred A1 po SIST EN-13501-1,med podkonstrukcijo topolotna izolacija  λ = 0,038W/mK, debelina 50mm, kot. npr. Knauf Insulation Naturboard fit ali enakovredno).
▪ mavčno kartonske vlagoodporne plošče (GKBI) položene križno na spodnji stik, d=2x12,5mm na Alu podkonstrukciji, stiki bandažirani in kitani, ), npr. Knauf sistem W112 ali enakovredno
Vključno z vsemi izvedbami za okvirje vrat ter pomožnimi, pripravljalnimi in zaključnimi deli ter vsemi potrebnimi horizontalnimi in vertikalnimi transporti!</t>
  </si>
  <si>
    <t>Kompletna izvedba mavčno kartonske predelne stene (ZN3.3) v skupni debelini 20 cm, sestave;                                                                                                                ▪ mavčno kartonske plošče (GKB) položene križno na spodnji stik, d=2x12,5mm na Alu podkonstrukciji, stiki bandažirani in kitani, v mokrih prostorih 1 plošča vlagoodporna (GKFI), npr. Knauf sistem W115 ali enakovredno
▪ podkonstrukcija: iz pocinkanih ploč. profilov na razstojih 62.5 cm, med stojke je vstavljen vpenjalni (samonosni) filc iz steklene volne, razred A1 po SIST EN-13501-1,med podkonstrukcijo topolotna izolacija  λ = 0,038W/mK, debelina 150 mm, kot. npr. Knauf Insulation Naturboard fit ali enakovredno).
▪ mavčno kartonske plošče (GKB) položene križno na spodnji stik, d=2x12,5mm na Alu podkonstrukciji, stiki bandažirani in kitani, v mokrih prostorih 1 plošča vlagoodporna (GKFI), npr. Knauf sistem W115 ali enakovredno
Vključno z vsemi izvedbami za okvirje vrat ter pomožnimi, pripravljalnimi in zaključnimi deli ter vsemi potrebnimi horizontalnimi in vertikalnimi transporti!</t>
  </si>
  <si>
    <t>Kompletna izvedba mavčno kartonske predelne stene (ZN3.5) v skupni debelini 30 cm, sestave;                                                                                                                ▪ mavčno kartonske plošče (GKB) položene križno na spodnji stik, d=2x12,5mm na Alu podkonstrukciji, stiki bandažirani in kitani, v mokrih prostorih 1 plošča vlagoodporna (GKFI), npr. Knauf sistem W116 ali enakovredno
▪ podkonstrukcija: iz pocinkanih ploč. profilov na razstojih 62.5 cm, med stojke je vstavljen vpenjalni (samonosni) filc iz steklene volne, razred A1 po SIST EN-13501-1,med podkonstrukcijo topolotna izolacija  λ = 0,038W/mK, debelina 100 mm, kot. npr. Knauf Insulation Naturboard fit ali enakovredno).                                                                                           ▪ instalacijski prostor                                                                                 ▪ podkonstrukcija: iz pocinkanih ploč. profilov na razstojih 62.5 cm, med stojke je vstavljen vpenjalni (samonosni) filc iz steklene volne, razred A1 po SIST EN-13501-1,med podkonstrukcijo topolotna izolacija  λ = 0,038W/mK, debelina 50 mm, kot. npr. Knauf Insulation Naturboard fit ali enakovredno).
▪ mavčno kartonske plošče (GKB) položene križno na spodnji stik, d=2x12,5mm na Alu podkonstrukciji, stiki bandažirani in kitani, v mokrih prostorih 1 plošča vlagoodporna (GKFI), npr. Knauf sistem W116 ali enakovredno
Vključno z vsemi izvedbami za okvirje vrat ter pomožnimi, pripravljalnimi in zaključnimi deli ter vsemi potrebnimi horizontalnimi in vertikalnimi transporti!</t>
  </si>
  <si>
    <t>Kompletna izvedba mavčno kartonske predelne stene (ZN3.6) v skupni debelini 35 cm, sestave;                                                                                                                ▪ mavčno kartonske plošče (GKB) položene križno na spodnji stik, d=2x12,5mm na Alu podkonstrukciji, stiki bandažirani in kitani, v mokrih prostorih 1 plošča vlagoodporna (GKFI), npr. Knauf sistem W116 ali enakovredno
▪ podkonstrukcija: iz pocinkanih ploč. profilov na razstojih 62.5 cm, med stojke je vstavljen vpenjalni (samonosni) filc iz steklene volne, razred A1 po SIST EN-13501-1,med podkonstrukcijo topolotna izolacija  λ = 0,038W/mK, debelina 100 mm, kot. npr. Knauf Insulation Naturboard fit ali enakovredno).                                                                                           ▪ instalacijski prostor 15 cm                                                                         ▪ podkonstrukcija: iz pocinkanih ploč. profilov na razstojih 62.5 cm, med stojke je vstavljen vpenjalni (samonosni) filc iz steklene volne, razred A1 po SIST EN-13501-1,med podkonstrukcijo topolotna izolacija  λ = 0,038W/mK, debelina 50 mm, kot. npr. Knauf Insulation Naturboard fit ali enakovredno).
▪ mavčno kartonske plošče (GKB) položene križno na spodnji stik, d=2x12,5mm na Alu podkonstrukciji, stiki bandažirani in kitani, v mokrih prostorih 1 plošča vlagoodporna (GKFI), npr. Knauf sistem W116 ali enakovredno
Vključno z vsemi izvedbami za okvirje vrat ter pomožnimi, pripravljalnimi in zaključnimi deli ter vsemi potrebnimi horizontalnimi in vertikalnimi transporti!</t>
  </si>
  <si>
    <t>Kompletna izvedba mavčno kartonske predelne stene (ZN3.7) v skupni debelini 35 cm, sestave;                                                                                                                ▪ mavčno kartonske plošče (GKB) položene križno na spodnji stik, d=2x12,5mm na Alu podkonstrukciji, stiki bandažirani in kitani, v mokrih prostorih 1 plošča vlagoodporna (GKFI), npr. Knauf sistem W116 ali enakovredno
▪ podkonstrukcija: iz pocinkanih ploč. profilov na razstojih 62.5 cm, med stojke je vstavljen vpenjalni (samonosni) filc iz steklene volne, razred A1 po SIST EN-13501-1,med podkonstrukcijo topolotna izolacija  λ = 0,038W/mK, debelina 100 mm, kot. npr. Knauf Insulation Naturboard fit ali enakovredno).                                                                                           ▪ instalacijski prostor 15 cm                                                                         ▪ podkonstrukcija: iz pocinkanih ploč. profilov na razstojih 62.5 cm, med stojke je vstavljen vpenjalni (samonosni) filc iz steklene volne, razred A1 po SIST EN-13501-1,med podkonstrukcijo topolotna izolacija  λ = 0,038W/mK, debelina 50 mm, kot. npr. Knauf Insulation Naturboard fit ali enakovredno).
▪ mavčno kartonske plošče (GKB) položene križno na spodnji stik, d=2x12,5mm na Alu podkonstrukciji, stiki bandažirani in kitani, v mokrih prostorih 1 plošča vlagoodporna (GKFI), npr. Knauf sistem W116 ali enakovredno
Vključno z vsemi izvedbami za okvirje vrat ter pomožnimi, pripravljalnimi in zaključnimi deli ter vsemi potrebnimi horizontalnimi in vertikalnimi transporti!</t>
  </si>
  <si>
    <t>Kompletna izvedba mavčno kartonske stenske obloge s stenskimi profili CW, obloge pri garderobah v igralnic:
2x mavčno kartonske plošče (GKB), d=12,5mm, plošče direktno vijačene na podkonstrukcijo, podkonstrukcija vijačena na knauf stene, stiki bandažirani in kitani (kvalitete Q3); izvedba z vertikalno in horizonstalno podkonstrukcijo.
Vključno z vsemi pomožnimi, pripravljalnimi in zaključnimi deli ter vsemi potrebnimi horizontalnimi in vertikalnimi transporti! Ocena!</t>
  </si>
  <si>
    <t>Kompletna izvedba MKP spuščenega stropa 
Stropna obloga iz GKB mavčno kartonskih plošč (v mokrih
prostorih GKFI plošč) enakovredno kot npr. Knauf sistem
D112.si.
Vključno z vsemi pomožnimi, pripravljalnimi in zaključnimi
deli ter vsemi potrebnimi horizontalnimi in vertikalnimi
transporti!</t>
  </si>
  <si>
    <t>klet_mokri prostori</t>
  </si>
  <si>
    <t>pritličje_mokri prostori</t>
  </si>
  <si>
    <t>nadstropje_mokri prostori</t>
  </si>
  <si>
    <t>pritličje_strop nad stopniščem</t>
  </si>
  <si>
    <t>Kompletna izvedba MKP stropne obloge oz. obloge na prehodu med požarnimi sektorji iz npr. Knauf Fireboard A1 30 mm, požarna odprnost RE60. 
Izvedba skladno z Načrtom požarne varnosti!
Vključno z vsemi pomožnimi, pripravljalnimi in zaključnimi
deli ter vsemi potrebnimi horizontalnimi in vertikalnimi
transporti! Ocena!</t>
  </si>
  <si>
    <t>lepljenci 80/250 mm</t>
  </si>
  <si>
    <t>leseni plohi 12/5 cm</t>
  </si>
  <si>
    <t>Kompletna dobava in montaža lesene konstrukcije stropa sestavljene iz lepljencev 80/250 mm, kvaliltete GI 24h; z vmesnimi zavetrovanji iz lesenih plohov 12/5 cm; vključno vsa potreban pritrjevanja na jekleno konstrukcijo in AB stene; uskladiti z izvajalcem jeklene konstrukcije; med lepljence poležena toplotna izolacija, zajeto v ločeni postavki. Vključno z vsemi pomožnimi, pripravljalnimi in zaključnimi deli ter vsemi potrebnimi horizontalnimi in vertikalnimi transporti! Ocena!</t>
  </si>
  <si>
    <t>podstrešje</t>
  </si>
  <si>
    <t>2x kitanje, brušenje, premaz z akrilno emulzijo in 3x slikanje AB, ometanih sten z poldisperzijsko latex barvo po specifikaciji npr. NCS in predhodno potrditvijo arhitekta finalna obdelava kvalitete Q3-Q4. Dvojni premaz s poldisperzijsko latex barvo, primerno za večje obremenitve (odporno na čiščenje s čistili in razkužili), površina je mat (polmat, saten). Zajeti vso potrebno silikoniziranje in vsa pomožna dela! Kompletno po predpisih in navodilih proizvajalca, z vsemi pomožnimi deli, odri in transporti. V ceni upoštevati vgradnjo Al vogalnikov na vogalih!</t>
  </si>
  <si>
    <t>Kitanje, brušenje, premaz z akrilno emulzijo in 3x slikanje MKP sten z disperzijsko barvo po specifikaciji npr. NCS in predhodno potrditvijo arhitekta finalna obdelava kvalitete Q3-Q4. Dvojni premaz s poldisperzijsko latex barvo, primerno za večje obremenitve (odporno na čiščenje s čistili in razkužili), površina je mat (polmat, saten). Zajeti vso potrebno silikoniziranje in vsa pomožna dela! Kompletno po predpisih in navodilih proizvajalca, z vsemi pomožnimi deli, odri in transporti. V ceni upoštevati vgradnjo Al vogalnikov na vogalih!</t>
  </si>
  <si>
    <t>Kitanje, ponovno brušenje, premaz z akrilno emulzijo in 2x slikanje stropov z  poldisperzijsko  barvo po specifikaciji npr. NCS. Finalna obdelava kvalitete Q3. Dvojni premaz s poldisperzijsko mat barvo. Kompletno po predpisih in navodilih proizvajalca, z vsemi pomožnimi deli, odri in transporti. Zajeti vso potrebno silikoniziranje in vsa pomožna dela!</t>
  </si>
  <si>
    <t>a)</t>
  </si>
  <si>
    <t>b)</t>
  </si>
  <si>
    <t>c)</t>
  </si>
  <si>
    <t>d)</t>
  </si>
  <si>
    <r>
      <t>OPOMBA:</t>
    </r>
    <r>
      <rPr>
        <sz val="10"/>
        <rFont val="Arial Narrow"/>
        <family val="2"/>
        <charset val="238"/>
      </rPr>
      <t xml:space="preserve"> Izvajalec mora pred pričetkom del opozoriti gradbeno vodstvo oziroma nadzor na eventuelne pomanjkljivosti, ki bi utegnile kvarno vplivati na brezhibno vgradnjo. Kasnejše izgovori o pomanjkljivi podlagi bodo smatrani za brezpredmetne. Vse količine pred naročilom obvezno preveri izvajalec del! Za celotno fasado je potrebno predvideti sistem enega proizvajalca! Natančne barve fasade na osnovi predloženih vzorcev potrdi projektant oz. investitor! Odri vključeni v ceno postavke!</t>
    </r>
  </si>
  <si>
    <t>Kompletna izdelava paropropustne fasade po sistemu npr. BAUMIT open z fasadnimi ploščami npr. KI kamena mineralna volna FKD-N THERMAL  (λ = 0,034 W/mK), debeline 20 cm in samočistilnim zaključnim slojem Baumit Nanopor Top 1,5mm. Vključno z lepilom Open Contact, pritrdilnimi sidri, armirno mrežico, ALU vogalnimi profili na vseh izpostavljenih delih, ALU odkapnimi profili, čisčenje in razmaščevanje betosnkih in lesenih površin; upoštevati lepljenje plošč na les (Suprafix)...obdelavo špalet všteti v ceno, prav tako toplotno izolacijo pri obdelavah oken, žaluzij - XPS.Vse detajle izvajati po tipskih detajlih proizvajalca. Zaključni omet je kvalitetne fasadne barve po izbiri arhitekta. Bela, siva.</t>
  </si>
  <si>
    <t>Kompletna izdelava paropropustne fasade po sistemu npr. BAUMIT open z fasadnimi ploščami npr. KI kamena mineralna volna FKD-N THERMAL  (λ = 0,034 W/mK), debeline 25 cm in samočistilnim zaključnim slojem Baumit Nanopor Top 1,5mm. Vključno z lepilom Open Contact, pritrdilnimi sidri, armirno mrežico, ALU vogalnimi profili na vseh izpostavljenih delih, ALU odkapnimi profili, čisčenje in razmaščevanje betosnkih in lesenih površin; upoštevati lepljenje plošč na les (Suprafix)...obdelavo špalet všteti v ceno, prav tako toplotno izolacijo pri obdelavah oken, žaluzij - XPS.Vse detajle izvajati po tipskih detajlih proizvajalca. Zaključni omet je kvalitetne fasadne barve po izbiri arhitekta. Bela, siva.</t>
  </si>
  <si>
    <t>Kompletna izdelava lesene fasade po sistemu:</t>
  </si>
  <si>
    <t>Vodoodbojna in paropropustna folija, kot zaščita toplotne izolacije</t>
  </si>
  <si>
    <t>Impregnirana vertikalna podkonstrukcija vijačena v morele 140/80 mm, debeline 20-25/50 mm; minimlani zračni sloj 2 cm</t>
  </si>
  <si>
    <t>Vključno z vsemi pomožnimi, pripravljalnimi in zaključnimi deli in odri ter vsemi potrebnimi horizontalnimi in vertikalnimi transporti!</t>
  </si>
  <si>
    <t>Vključno obdelava okenskih špalet iz lesa sibirskega macesna A klase, enakovradno letvam, debelina do 30 mm, širine do 20 cm; vogalni zaključek z zračno fugo.</t>
  </si>
  <si>
    <t>Vključno impregnirana lesena podkonstrukcija iz moralov 140/80 mm, vijačenih v nosilno konstrukcijo objekta, vmes fasadne plošče npr. KI kamena mineralna volna FKD-N THERMAL  (λ = 0,034 W/mK), debeline 14 cm</t>
  </si>
  <si>
    <t>Kompletna izdelava paropropustne fasade po sistemu npr. BAUMIT open z fasadnimi ploščami npr. KI kamena mineralna volna FKD-N THERMAL  (λ = 0,034 W/mK), debeline 10 cm in samočistilnim zaključnim slojem Baumit Nanopor Top 1,5mm. Vključno z lepilom Open Contact, pritrdilnimi sidri, armirno mrežico, ALU vogalnimi profili na vseh izpostavljenih delih, ALU odkapnimi profili, čisčenje in razmaščevanje betosnkih in lesenih površin; upoštevati lepljenje plošč na les (Suprafix)...obdelavo špalet všteti v ceno, prav tako toplotno izolacijo pri obdelavah oken, žaluzij - XPS.Vse detajle izvajati po tipskih detajlih proizvajalca. Zaključni omet je kvalitetne fasadne barve po izbiri arhitekta. Bela, siva.</t>
  </si>
  <si>
    <t>Kompletna izdelava paropropustne fasade po sistemu npr. BAUMIT open z fasadnimi ploščami npr. KI kamena mineralna volna FKD-N THERMAL  (λ = 0,034 W/mK), debeline 15 cm in samočistilnim zaključnim slojem Baumit Nanopor Top 1,5mm. Vključno z lepilom Open Contact, pritrdilnimi sidri, armirno mrežico, ALU vogalnimi profili na vseh izpostavljenih delih, ALU odkapnimi profili, čisčenje in razmaščevanje betosnkih in lesenih površin; upoštevati lepljenje plošč na les (Suprafix)...obdelavo špalet všteti v ceno, prav tako toplotno izolacijo pri obdelavah oken, žaluzij - XPS.Vse detajle izvajati po tipskih detajlih proizvajalca. Zaključni omet je kvalitetne fasadne barve po izbiri arhitekta. Bela.</t>
  </si>
  <si>
    <t>Vključno impregnirana lesena podkonstrukcija iz moralov 140/80 mm, vijačenih v nosilno konstrukcijo objekta, vmes fasadne plošče npr. KI kamena mineralna volna FKD-N THERMAL  (λ = 0,034 W/mK), debeline 10 cm</t>
  </si>
  <si>
    <t>Horizintalne lesene lepljene letve iz termično obdelanega lesa
sibirskega macesna. Les sibirskega macesna A klase brez vidnih grč, sivin, razpok,... Letve so točkovno pritrjene na podkonstrukcijo z nerjavečimi vijaki z utopno glavo skladno s standardi za leseno fasadi. Vse luknje morajo biti predhodno povrtane; med leseno letvo in fasado je potrebno ob vijačenju namestiti črne distančnike iz trajno elastične trde gume; Lesene lepljene macesnove letve dim. 50/30 mm točkovno pritrjene horizontalno, ter 30/30 mm  točkovno pritrjene horizontalno, na razmiku min. 20 mm. Letve površinsko obdelane, brušeni vogali r=2-3mm, zaščitene z 2x lazurnim, voščenim premazom na osnovi akrilne lazure. Dimenzijo in pigment letev potrdi arhitekt na osnovi vzorca v merilu 1:1 (min. 1 m2). Garancija 10 let; razred odpornosti 1/2 skladno z EN 350:2016.</t>
  </si>
  <si>
    <t>Vključno impregnirana lesena podkonstrukcija iz moralov 140/80 mm, vijačenih v nosilno konstrukcijo objekta, vmes fasadne plošče npr. KI kamena mineralna volna FKD-N THERMAL  (λ = 0,034 W/mK), debeline 8 cm</t>
  </si>
  <si>
    <t>SKUPAJ FASADERSKA DELA:</t>
  </si>
  <si>
    <t>Kompletna izdelava lesene fasade - stropa, po sistemu:</t>
  </si>
  <si>
    <t>Zelena streha</t>
  </si>
  <si>
    <t>SKUPAJ ZELENA STREHA:</t>
  </si>
  <si>
    <t>XII.</t>
  </si>
  <si>
    <r>
      <t>OPOMBA:</t>
    </r>
    <r>
      <rPr>
        <sz val="10"/>
        <rFont val="Arial Narrow"/>
        <family val="2"/>
        <charset val="238"/>
      </rPr>
      <t xml:space="preserve"> Dela izvajati točno po določilih in navodilih dobavitelja kritine z upoštevanjem veljavnih tehničnih predpisov in standardov. V enotno ceno posamezne postavke je vključeno tudi snemanje izmer na objektu. Pred pričetkom del je izvajalec dolžan vse mere preveriti na licu mesta! Vse barve potrdi arhitekt!</t>
    </r>
  </si>
  <si>
    <t>Dobava in montaža okna s kupolo za ravno streho, dim. 100/100 cm,  izdelano iz belega plastičnega okvirja višine 15 cm (polnjeno z visoko izolativno peno), zastekljeno z dvoslojnim energijsko varčnim steklom (zunanje navadno in notranje lepljeno steklo) in zaščiteno s prozorno kupolo iz akrila. Okno je fiksno, brez možnosti odpiranja (kot VELUX tip CFP). Vgradnja z obrobo izdelano na licu mesta; vse skladno z navodili dobavitelja!</t>
  </si>
  <si>
    <t>Dobava in montaža okna s kupolo za izhod na ravno streho, dim. 100x100 cm,  izdelano iz belega plastičnega okvirja višine 15 cm (polnjeno z visoko izolativno peno), zastekljeno z dvoslojnim energijsko varčnim steklom (zunanje navadno in notranje lepljeno steklo) ter zaščiteno s prozorno kupolo iz akrila. Okno ima ročno odpiranje za 60 stopinj (kot VELUX tip CXP). Vgradnja z obrobo izdelano na licu mesta; vse skladno z navodili dobavitelja!</t>
  </si>
  <si>
    <t>Kompletna dobava in montaža enodelne fiksne zasteklitve; varnostno lepljeno kaljeno steklo, debeline 6+6 mm; vstavljeno v ALU vgradne profile dim. ca. 25/25 mm; vgradni profili se prilagajajo končnim obdelavam špalet, le to medsebojno uskladiti. Mere oken so podane po gradbenih odprtinah. Po shemah.</t>
  </si>
  <si>
    <t xml:space="preserve">Kompletna dobava, montaža in izdelava toplotne izolirane ravne strehe - sestav S1.1, v naklonu min. 2,0 % v sestavi, tlorisna površina (od spodaj navzgor);  </t>
  </si>
  <si>
    <t>ločilni in zdrsni sloj: npr. Bauder ločilna tkanina PE 02</t>
  </si>
  <si>
    <t>filtrirna plast: npr. Bauder filtrirni filc FV 125</t>
  </si>
  <si>
    <t>plast zbiralnika vode/drenaže: npr. Bauder element za drenažo in zadrževanje vode DSE 60</t>
  </si>
  <si>
    <t>zaščitni sloj: npr. Bauder preproga iz varovalnih vlaken WSP 600</t>
  </si>
  <si>
    <t>toplotna izolacija, strešne kompaktne plošče iz ekspandiranega polistirena v naklonu 2-27 cm – EPS 300 po SIST EN 13163,  zgornja površina mora biti odporna proti točkovnim tlačnim obremenitvam (pohodnost v času montaže in za vzdrževalna dela), mehansko pritrjena (npr. FRAGMAT)</t>
  </si>
  <si>
    <t>filc 600 g</t>
  </si>
  <si>
    <t>UV odporna plastična strešna folija, ojačana s sintetično tkanino; npr. Bauder Thermoplan T 20 (FPO); v celoti izvedena po navodilih proizvajalca folije, barva biserno bela, mehansko pritrjena po EC1</t>
  </si>
  <si>
    <t>Ob točkovnih odtokih naklonske plošče iz predmetne toplotne izolacije za preprečitev zastajanja vode na strehi. Potrebno je zagotoviti naklon vsaj 0,5% proti odtokom. Upoštevati tudi trikotno robitev za prehod hidroizolacije oz. trikotne letve vsaj 6/6 cm iz trdega izolacijskega sloja med horizontalno in vertikalno kritino. Upoštevati tudi obdelavo zaključka strešne folije na fasado, tipski detajli.
Vse kompletno z obdelavo vseh zaključkov, spojev in prebojev (instalacije). Vse detajle izvajati po tipskih detajlih proizvajalca (npr. Bauder). Izvajalec je dolžan pripraviti izris naklonske izolacije in ga podati v potrditev nadzoru in arhitektu!
Obračun po tlorisni neto površini.</t>
  </si>
  <si>
    <t xml:space="preserve">Kompletna dobava, montaža in izdelava toplotne izolirane ravne strehe - sestav S1.1*, v naklonu min. 2,0 % v sestavi, tlorisna površina (od spodaj navzgor);  </t>
  </si>
  <si>
    <t>PE folija</t>
  </si>
  <si>
    <t>lahek konstrukcijski beton debeline ca. 15 cm, kot. npr. Latermix Beton 1600 (Laterlite)</t>
  </si>
  <si>
    <t>Ob točkovnih odtokih naklonske plošče iz predmetne toplotne izolacije za preprečitev zastajanja vode na strehi. Potrebno je zagotoviti naklon vsaj 0,5% proti odtokom. 
Vse kompletno z obdelavo vseh zaključkov, spojev in prebojev (instalacije). Vse detajle izvajati po tipskih detajlih proizvajalca (npr. Bauder). Izvajalec je dolžan pripraviti izris naklonske izolacije in ga podati v potrditev nadzoru in arhitektu!
Obračun po tlorisni neto površini.</t>
  </si>
  <si>
    <t>ozelenitev: intenzivna ozelenitev</t>
  </si>
  <si>
    <t>nosilni sloj vegetacije: npr. Bauder zemlja za sajenje intensiv
(debelina plasti 20 -50 cm)</t>
  </si>
  <si>
    <t>Kompletna dobava in polaganje sekancev v debelini 5 cm, vključno filc 300 g; kot ločilni sloj med humusom in sekanci. Vključno vsi potrebni transporti in prenosi. Ocena; končna oblika poti določena s projektom zunanje opreme!</t>
  </si>
  <si>
    <t>Kompletna dobava in montaža tipskega ločilnega profila npr. Bauder, kot obrobitev poti iz sekancev. Vključno vsi potrebni transporti in prenosi. Ocena; končna oblika poti določena s projektom zunanje opreme!</t>
  </si>
  <si>
    <t>Kompletna izdelava lesenega ostrešja strehe asimetrične dvokapnice v naklonu 12 in 23 stopinj. Ostrešje je izdelano iz kvalitetnega lesa iglavca I.razreda, sestavljeno iz kapnih leg 18/18 cm, skupne dolžine 23,25 in 24,70 m; vmesnih leg 20/60 cm (lepljen les C24) dolžin 23,40, 24,00 in 24,50 m; slemenska lega  20/60 cm (lepljen les C24), dolžine 24,30 m. Špirovci so dimenzij 14/20 cm, dolžine do 16,30 m. Vključno stebri-sohe 20/20 cm, dolžine 0,64, 2,32, 1,48 in 3,15 cm in roke 16/16 cm. Vključno potrebni menjalniki. Vključno zapioranje ostrešja na kapi z deskami debeline do 5 cm. Kapne lege so na vsake cca. 2,00 m sidrane v AB venec/ploščo z vijaki M - 16. Za pritrjevanje leg na AB nosilce vključiti ustrezne sidrne ploščice in vijake. Leseno ostrešje je v celoti premazano s  premazom proti insekticidom. Pred naročilom, razrezom in izvedbo preveriti vse dimenzije na načrtu in licu mesta! Obračunana tlorisna površina ostrešja.</t>
  </si>
  <si>
    <t>Kompletna dobava in montaža ALU krajne obrobe deb 0,07 mm po barvi RAL, r.š. cca. 30 cm, v barvi RAL 9003 vključno z vsem potrebnim tesnjenjem z UV tesnilnimi masami. Nevidno pritrjevanje.</t>
  </si>
  <si>
    <t>Kompletna dobava in montaža ALU pločevine deb 0,07 mm, r.š. do 50 cm za obdelavo dimnika, v barvi RAL 9003, vključno izolacija do debeline 5 cm (kamena volna). Vključena vsa potrebna pritrjevanja in tesnjenja z UV odporno tesnilno maso. Ocena, izmeriti na licu mesta.</t>
  </si>
  <si>
    <t>Kompletna dobava in montaža ALU pločevine deb 0,07 mm, r.š. do 50 cm za obdelavo izpuhov in zajema zraka na strehi, v barvi RAL 9003, vključno izolacija do debeline 5 cm (kamena volna). Vključena vsa potrebna pritrjevanja in tesnjenja z UV odporno tesnilno maso. Ocena, izmeriti na licu mesta.</t>
  </si>
  <si>
    <t>Izdelava varnostnega prelivnega iztočnika vel. 40/10 cm; vključno z vsemi zatesnitvami. Obdelava vtočnika z Bauder folijo in ALU prašno barvano pločevino v RAL. Izvedba po navodilih/detajlih proizvajalca kritine. Max. 5 cm od kote strehe.</t>
  </si>
  <si>
    <t>Kompletna dobava in montaža panelne žične ograje 3D - 5/5; vročecinkana jeklena žica, barvana s prašnim poliestrskim lakom; panel 2500/1730 mm; pripadajoči stebri 60/40 mm; medosna razdalja 2520 mm oz. po potrebi; RAL 7016; stebri s peto vijačeni v AB oporni zid. Vključno dvokrilna vrata 160/173 cm; primarno krilo odpiranje z samozapiralom; upoštevati, da se mehanizem ne sme zapreti hitreje kakor v 5 sekundah. Vsi zaključki vrat morajo biti zaobljeni! Upoštevati poševno izvedbo. Izvajalec pripravi delavniški načrt, potrdi ga arhitekt!</t>
  </si>
  <si>
    <t>e)</t>
  </si>
  <si>
    <t>f)</t>
  </si>
  <si>
    <t>g)</t>
  </si>
  <si>
    <r>
      <t>OPOMBA:</t>
    </r>
    <r>
      <rPr>
        <sz val="10"/>
        <rFont val="Arial Narrow"/>
        <family val="2"/>
        <charset val="238"/>
      </rPr>
      <t xml:space="preserve"> Izvajalec keramičarskih del mora pred pričetkom dela pregledati vse površine, ki bodo oblagane in opozoriti gradbeno vodstvo oziroma nadzor na eventuelne pomanjkljivosti, ki bi utegnile kvarno vplivati na brezhibno polaganje keramike. Kasnejše izgovori o pomanjkljivih površinah bodo smatrani za brezpredmetne. Vse količine pred naročilom obvezno preveri izvajalec del na licu mesta! Zaključni deli morajo biti izvedeni z zaokrožnico, skladno s predpisi sanitarnih organov. Upoštevati vse višinske spremembe tlakov, vgraditi RF profile. Barvo fugirnega materiala poda arhitekt. V enotno ceno obloge je všteto tudi naprava odprtin za razne instalacije in vzidava instalacijskih vratic in prezračevalnih rešetk. Po zaključnem delu mora izvajalec vse površine brezhibno očistiti. Za vso keramiko je izvajalec dolžan predati investitorju ob prevzemu min. 10 m2 rezervne keramike za morebitna popravila in garancijske storitve (ni upoštevano v predračunskih količinah!). Pred naročilom mora izvajalec preveriti količine in dimenzije ter dostaviti vzorce v potrditev arhitektu!</t>
    </r>
  </si>
  <si>
    <t>Kompletna dobava in montaža akustičnega spuščenega stropa po sistemu npr. Armstrong PERLA OP 1.00, vključno vsa potrebna podkonstrukcija,vse obdelave in prilagotitve vezane na strojne in elektro instalacije; obloge morajo dosegati vrednosti iz elaborata prostorske akustike! Vključno vsa pomožna in pripravljana del, vertikalni in horizontalni prenosi. Upoštevati Elaborat prostorske akustike št. NP-011-08/21.</t>
  </si>
  <si>
    <t>Kompletna dobava in montaža, zapolnitev lukenje na prehodih strojnih in elektro instalacij med igralnicami; vključno z toplotno izolacijo, kamena volna, skupne debeline 25 cm in finalno knauf oblogo; stike povsem zatesniti! Upoštevati Elaborat zaščite pred hrupom v stavbah! Ocena!</t>
  </si>
  <si>
    <t>Kompletna dobava in vgradnja kanalizacijskih cevi za meteorno kanalizacijo, odtoki iz ravne strehe; vključno z vsemi potrebnimi fazonskimi kosi (se ne obračunavajo posebej), priključitvami, obdelavami priključkov…</t>
  </si>
  <si>
    <t>Kompletna dobava in montaža tipskega svetlobnega jaška npr. ACO-jaše 70, dim 150/150/70 cm; vključno tipski nastavitveni element ter pohodna rešetka; vgradnja skladno z navodili proizvajalca. Vključno vsa potrebna pomožna in pripravljalna dela!</t>
  </si>
  <si>
    <t xml:space="preserve">Kompletna dobava in montaža OSB plošče d=2cm, ki se vijači na kovisnko ogrodje, vključno obdelava s kameno volno d=5 cm, za obdelavo prebojev strojnih instalacij. Vključena vsa potrebna pritrjevanja in tesnjenja z UV odporno tesnilno maso. Vključno z vroče cinkano lamelno prezračevalno rešetko na bočnem delu škatle. Upoštevati izvedbo zaključka strešne kritine in obdelave škatel. Prezračevalni jašek notranjih dimenzij ca. 300/27 cm. </t>
  </si>
  <si>
    <t>Kompletna dobava in montaža ALU pločevine deb 0,07 mm, r.š. do 120 cm za obdelavo izpuhov in zajema zraka na strehi, kot kapa,  v barvi RAL. Vključena vsa potrebna pritrjevanja in tesnjenja z UV odporno tesnilno maso. Ocena, izmeriti na licu mesta.</t>
  </si>
  <si>
    <t xml:space="preserve">Kompletna dobava in montaža OSB plošče d=2cm, ki se vijači na kovisnko ogrodje, vključno obdelava s kameno volno d=5 cm, za obdelavo prebojev strojnih instalacij. Vključena vsa potrebna pritrjevanja in tesnjenja z UV odporno tesnilno maso. Vključno z vroče cinkano lamelno prezračevalno rešetko na bočnem delu škatle. Upoštevati izvedbo zaključka strešne kritine in obdelave škatel. Prezračevalni jašek dimenzij ca. 2x120/120 cm. </t>
  </si>
  <si>
    <t>Vključno končna obdelava z ALU pločevino deb 0,07 mm, po RAL. Vključena vsa potrebna pritrjevanja in tesnjenja z UV odporno tesnilno maso.</t>
  </si>
  <si>
    <r>
      <t>OPOMBA:</t>
    </r>
    <r>
      <rPr>
        <sz val="10"/>
        <rFont val="Arial Narrow"/>
        <family val="2"/>
        <charset val="238"/>
      </rPr>
      <t xml:space="preserve"> Pred izvedbo AB dvigalnega jaška potrditi izbrano dvigalo, zaradi ustrezne gradbene mere dvigala! Izvajalec si pripravi svoj delavniški načrt, ki ga mora dostaviti pred pričetkom izvedbe AB del!</t>
    </r>
  </si>
  <si>
    <t>KABINA
Tip kabine: PR14
Opremljenost: Stene iz nerjaveče brušene pločevine – inox plus Na stranski steni ročaj in kabinsko tipkalo v inoxu po celotni višini stranske stene, dekorativne okrogle tipke, na zadnji steni ogledalo ¾ stene,
dodatna oznaka tipkal z Brailovo pisavo, razsvetljava okoli kabinskega tipkala
Strop z indirektno razsvetljavo – UP37.
Tla kakovostni PVC.
Dimenzije: Širina 1100 mm, globina 1400 mm, višina 2200 mm
Varovanje vhodov: Zaščita z infrardečo svetlobno zaveso, po celotni višini vrat
VRATA KABINE Avtomatska 2-delna teleskopska vrata, z reguliranim pogonom, krila inox plus
Dimenzije: Širina 900 mm, višina 2100 mm
VRATA JAŠKA Avtomatska 2-delna teleskopska vrata, krila inox plus, E120 Dimenzije: Širina 900 mm, višina 2100 mm
JAŠEK DVIGALA Širina 1600 mm, globina 1750 mm glava 3600 mm, jama 1200 mm
STROJNICA Dvigalo je brez strojnice, poseben prostor ni potreben
OSTALO Vsi deli dvigala (nosilci vodil, nosilec in ogrodje kabine,…) so
antikorozijsko zaščiteni (barvani ali pocinkani)
Vse je v skladu z veljavnimi predpisi in standardi SIST EN 81-
20:2014, EN 81-50:2014</t>
  </si>
  <si>
    <t xml:space="preserve">VRSTA DVIGALA: ELEKTRIČNO OSEBNO DVIGALO npr. CASTER
VRSTA DVIGALA: Električno osebno dvigalo
TIP DVIGALA: npr. Orona
POGON: Električni, digitalno frekvenčno reguliran sinhroni motor brez
reduktorja s permanentnimi magneti brez azbestno zavoro,
nameščen v glavi jaška dvigala, sistem brez strojnice, nosilna sredstva so posebne jeklene vrvi v poliuretantskem ovoju, z do 3 krat daljšo življenjsko dobo, kot pri običajnih vrveh
NOSILNOST: 630 kg ali 8 oseb
HITROST: 1 m/s
VIŠINA DVIGA: cca 7,40 m
ŠTEVILO POSTAJ: 3
ŠTEVILO VHODOV 3 – neprehodna kabina
SISTEM UPRAVLJANJA Mikroprocesorsko krmilje, simplex, zbirni sistem gor – dol
Govorna povezava – dvosmerna
Tipke s svetlobno potrditvijo pozivov
Indikator preobremenitve
Požarni program
Tipka za zapiranje vrat
Tipka za odpiranje vrat
Gong v kabini
Zasilna razsvetljava
Napredne funkcije – Stand By (avtom. izklop razsvetljave)
Rezervacija kabine na ključ                                                
</t>
  </si>
  <si>
    <t>SS5_565-600/300 cm; 6-delno okno, 5x fix, 1x vrata krilno</t>
  </si>
  <si>
    <t>SS6_555-575/300 cm; 6-delno okno, 5x fix, 1x vrata krilno</t>
  </si>
  <si>
    <t>SS7_560-565/300 cm; 7-delno okno, 5x fix, 2x vrata krilno</t>
  </si>
  <si>
    <t>SS8_520-555/300 cm; 6-delno okno, 5x fix, 1x vrata krilno</t>
  </si>
  <si>
    <t>SS9_580-600/300 cm; 6-delno okno, 5x fix, 1x vrata krilno</t>
  </si>
  <si>
    <t>SS10_565-570/300 cm; 6-delno okno, 5x fix, 1x vrata krilno</t>
  </si>
  <si>
    <t>VZ2_100/220 cm; enokrilna vrata; rešetka na vratih min 60/25 cm</t>
  </si>
  <si>
    <t>VN15_380/300 cm…vrata 200/220 cm; ostalo fix; vrata na evakuacijski poti odpiranje po SIST EN 0179; predpriprava za električno ključavnico</t>
  </si>
  <si>
    <t>VN17a_360/300 cm…vrata 110/220 cm; ostalo fix</t>
  </si>
  <si>
    <t>VN17b_440/300 cm…vrata 105/220 cm; ostalo fix</t>
  </si>
  <si>
    <t>Kompletna izdelava in dobava armirane cementne prevleke (estriha) ustrezne tlačne trdnosti  iz ustreznega agregata z zagladitvijo in ravnostjo ustrezno zahtevi v tehničnem poročilu (max. odstopanje 3 mm na 3 m letvi), deloma v padcu 1% proti talnim odtokom. V ceni kalkulirati dilatacijski trak 1 cm ob stenah, tudi suhomontažnih. Dovoljena vlažnost 1,5 CM-%. Sušenje estriha naj poteka po predpisanem protokolu. Debelina estriha je šteta od vrha čepov sistemske plošče! Vse kompletno z dobavo, izdelavo mešanice, vsemi potrebnimi postopki, prenosi, pomožnimi, pripravljalnimi ter pospravljalnimi deli. Pred izvedbo del končno višino uskladiti z finalno talno oblogo!
Obračun po neto tlorisni površini estriha.</t>
  </si>
  <si>
    <t>m²</t>
  </si>
  <si>
    <t>l)</t>
  </si>
  <si>
    <t>i)</t>
  </si>
  <si>
    <t>h)</t>
  </si>
  <si>
    <t>j)</t>
  </si>
  <si>
    <t>k)</t>
  </si>
  <si>
    <t>Horizintalne lesene lepljene letve iz termično obdelanega lesa
sibirskega macesna. Les sibirskega macesna A klase brez vidnih grč, sivin, razpok,... Letve so točkovno pritrjene na podkonstrukcijo z nerjavečimi vijaki z utopno glavo skladno s standardi za leseno fasadi. Vse luknje morajo biti predhodno povrtane; med leseno letvo in fasado je potrebno ob vijačenju namestiti črne distančnike iz trajno elastične trde gume; Lesene lepljene macesnove letve dim. 50/30 mm točkovno pritrjene horizontalno/poševno vertikalno, ter 30/30 mm  točkovno pritrjene horizontalno, na razmiku min. 20 mm. Letve površinsko obdelane, brušeni vogali r=2-3mm, zaščitene z 2x lazurnim, voščenim premazom na osnovi akrilne lazure. Dimenzijo in pigment letev potrdi arhitekt na osnovi vzorca v merilu 1:1 (min. 1 m2). Garancija 10 let; razred odpornosti 1/2 skladno z EN 350:2016.</t>
  </si>
  <si>
    <t>Vključno kovinska podkonstrukcija, vijačenih v nosilno konstrukcijo ostrešja</t>
  </si>
  <si>
    <t>Vključno obdelava zaključkov na stiku s fasado</t>
  </si>
  <si>
    <t>Kompletna izdelava paropropustne fasade po sistemu npr. BAUMIT open z fasadnimi ploščami npr. KI kamena mineralna volna FKD-N THERMAL  (λ = 0,034 W/mK), debeline 5 cm in samočistilnim zaključnim slojem Baumit Nanopor Top 1,5mm. Vključno z lepilom Open Contact, pritrdilnimi sidri, armirno mrežico, ALU vogalnimi profili na vseh izpostavljenih delih, ALU odkapnimi profili, čisčenje in razmaščevanje betosnkih in lesenih površin; upoštevati lepljenje plošč na les (Suprafix)...obdelavo špalet všteti v ceno, prav tako toplotno izolacijo pri obdelavah oken, žaluzij - XPS.Vse detajle izvajati po tipskih detajlih proizvajalca. Zaključni omet je kvalitetne fasadne barve po izbiri arhitekta. Bela.</t>
  </si>
  <si>
    <t>Kompletna dobava in montaža OSB lošče debeline 20 mm, kot podlaga za izvedbo fasade na kapi strehe vrtca - južna fasada; vključno vsa potrebna pomožna in pripravljalna dela.</t>
  </si>
  <si>
    <t>Kompletna dobava in montaža tlaka iz WPC kompozitnih plošč, dimenzij npr. 140/25 mm; obdelava rebrana; barva po izboru arhitekta, vključno vsa potrebna podkonstrukcija (2- 6 cm), WPC zaključne letve, spone, zaključni pokrovčki, obdelave okoli stebrov vse skladno z navodili dobavitelja; vključno vsi potrebni prenosi in transporti.</t>
  </si>
  <si>
    <t>Horizintalne lesene lepljene letve iz termično obdelanega lesa
sibirskega macesna. Les sibirskega macesna A klase brez vidnih grč, sivin, razpok,... Letve so točkovno pritrjene na podkonstrukcijo z nerjavečimi vijaki z utopno glavo skladno s standardi za leseno fasadi. Vse luknje morajo biti predhodno povrtane; med leseno letvo in fasado je potrebno ob vijačenju namestiti črne distančnike iz trajno elastične trde gume; Lesene lepljene macesnove letve dim. 30/40 mm (romboidne) točkovno pritrjene horizontalno, ter 30/60 mm (romboidne) točkovno pritrjene horizontalno, na razmiku min. 20 mm. Letve površinsko obdelane, brušeni vogali r=2-3mm, zaščitene z 2x lazurnim, voščenim premazom na osnovi akrilne lazure. Dimenzijo in pigment letev potrdi arhitekt na osnovi vzorca v merilu 1:1 (min. 1 m2). Garancija 10 let; razred odpornosti 1/2 skladno z EN 350:2016.</t>
  </si>
  <si>
    <t>Izvedba talnih oznak: 5111; ločilna neprekinjena črta širine 10 cm, bela barva. Vse talne oznake so debeloslojne, debelina nanosa 2 do 3 mm, trajna izvedba, strojno, na površini vozišča beton</t>
  </si>
  <si>
    <t>Kompletna izvedba talnih oznak: 5352;  parkirno mesto za invalide, rumena barva. Vse talne oznake so debeloslojne, debelina nanosa 2 do 3 mm, trajna izvedba, strojno, na površini vozišča</t>
  </si>
  <si>
    <t>Dobava in  vgradnja znaka 2441, vključno z pritrjevanjem na steno; vroče cinkana podkonstrukcija in vsem pritrjevalnim materialom</t>
  </si>
  <si>
    <t>Izvedba talnih oznak: smerna puščica - naravnost, bela barva. Vse talne oznake so debeloslojne, debelina nanosa 2 do 3 mm, trajna izvedba, strojno, na površini vozišča beton</t>
  </si>
  <si>
    <t>Izvedba talnih oznak: smerna puščica - naravnost, levo, bela barva. Vse talne oznake so debeloslojne, debelina nanosa 2 do 3 mm, trajna izvedba, strojno, na površini vozišča beton</t>
  </si>
  <si>
    <t>Prometna signalizacija</t>
  </si>
  <si>
    <t>SKUPAJ PROMETNA SIGNALIZACIJA:</t>
  </si>
  <si>
    <t xml:space="preserve">Kompletna izvedba talnih oznak: 5231 oznaka prehod za pešce, bela barva. Vse talne oznake so debeloslojne, debelina nanosa 2 do 3mm, trajna izvedba strojno, na površini vozišča. </t>
  </si>
  <si>
    <t>Dobava in montaža znaka (usmerjevalne table) na AB nosilec, vključno z vsem pritrjevalnim materialom;"napis IZVOZ, z puščicama" postavitev znaka min. 2,30 m nad voziščem. Dimenzije znaka uskladiti.</t>
  </si>
  <si>
    <t>kot znak 2214 "PREPOVEDAN PROMET ZA PEŠCE"</t>
  </si>
  <si>
    <t>kot znak 2221"OMEJITEV VIŠINE"</t>
  </si>
  <si>
    <t>kot znak 2232 "OMEJITEV HITROSTI"</t>
  </si>
  <si>
    <t>kot znak 2210 "PREPOVEDAN PROMET ZA MOTORNA VOZILA; KI VLEČEJO PRIKLOPNO VOZILO"</t>
  </si>
  <si>
    <t>kot znak 2225 "NAJMANJŠA RAZDALJA MED VOZILI"</t>
  </si>
  <si>
    <t>Dobava in montaža prometnega znaka, vključno z vsem pritrjevalnim materialom, folija tip 2; postavitev znaka min. 2,45 m nad voziščem. Dimenzije znaka uskladiti.</t>
  </si>
  <si>
    <t>Sprotna kontrola izvedbe protipožarnih ukrepov s strani izdelovalca Načrta požarne varnosti in izdelava izkaza požarne varnosti</t>
  </si>
  <si>
    <t xml:space="preserve">Kompletna izdelava raznih samolepilnih  napisov, smeri, obvestil, ipd.
</t>
  </si>
  <si>
    <t>Izdelava Dokazila o zaneslijivosti objekta v 3 tiskanih izvodih.</t>
  </si>
  <si>
    <t xml:space="preserve">Vz9_410/260 cm; 3-delna stena; 2x fix, 1x krilno (2x1/2)…ročaj za opdiranje vrat obojestransko po izbiri arhitekta; ključavnica z valjčkom, vrata na evakuaciji poti, odpiranje po SIST EN 1125; zaščita proti priprtju prstov (transparentna, talni odbojnik) </t>
  </si>
  <si>
    <t>Izdelava, dobava in montaža notranjih drsnih lesenih vrat, z vgradno kaseto za mavčno kartonske stene (npr. Eclisse syntesis Line, vratno krilo s sredico iz polne perforirane plošče obloženo z ultrapasom, suhomontažna vgradnja, trojna nasadila, drsna vodila v sklopu vgradne kasete, okovje standardno, kljuka utopni ročaj, krtačen krom, cilindrična ključavnica, sistemski ključ, podboji kovinski, barvani v barvi po izbiri arhitekta, vključno z vsem pritrdilnim in tesnilnim materialom ter transporti, izvedba vrat po izbiri arhitekta in priloženih shemah</t>
  </si>
  <si>
    <t>Dobava in montaža lesene obloge stene v osi 7 v vrtcu, iz vezane plošče dimenzije npr. 1500 x 750 mm v BB kvaliteti, vendar prelakirana z brezbarvbnim lakom, ki je na vodni osnovi - izgled plošč se poenoti z ploščmi v telovadnici. Vključno vsa potrebna lesena vertikalna in horizontalna podkonstrukcija. Razpored plošč oz. končni format določi arhitekt projekta. Vključno obdelava špalet okoli okenskih odprtin.</t>
  </si>
  <si>
    <t>plošče prelakirane z brezbarvnim lakom</t>
  </si>
  <si>
    <t>plošče barvane po RAL</t>
  </si>
  <si>
    <t>Kompletna izvedba protiprašni premaz dvigalnega jaška (z
notranje strani); kompletno po predpisih in navodilih
proizvajalca, z vsemi pomožnimi deli, odri in transporti</t>
  </si>
  <si>
    <t>Kompletna dobava in montaža notranjih okenskih polic iz naravnega kamna; kot npr. Marmor White; debeline 3 cm; dimenzije po merjh oken;izmeriti na licu mesta</t>
  </si>
  <si>
    <t>O1_160 cm</t>
  </si>
  <si>
    <t>O4_380 cm</t>
  </si>
  <si>
    <t>O2_280 cm</t>
  </si>
  <si>
    <t>O3_320 cm</t>
  </si>
  <si>
    <t>Kompletna dobava in montaža revizijskih vratc dim. ca. 30/30 cm, za dostop do prezračevalnih kanalov; glej načrt strojnih inst.; ocena.</t>
  </si>
  <si>
    <t>380/185 cm</t>
  </si>
  <si>
    <t>160/235 cm</t>
  </si>
  <si>
    <t>280/235 cm</t>
  </si>
  <si>
    <t>320/235 cm</t>
  </si>
  <si>
    <t>565-600/325 cm</t>
  </si>
  <si>
    <t>550-575/325 cm</t>
  </si>
  <si>
    <t>560-565/325 cm</t>
  </si>
  <si>
    <t>520-555/325 cm</t>
  </si>
  <si>
    <t>580-600/325 cm</t>
  </si>
  <si>
    <t>565-570/325 cm</t>
  </si>
  <si>
    <t>Kompletna dobava in montaža notranjih rolo senčil z zatemnitveno tkanino; INOX vodila, kot npr. Medle; detaljne mere posneti na licu mesta, arhitekt potrdi vzorec!</t>
  </si>
  <si>
    <t xml:space="preserve">Izdelava, dobava in montaža notranjih steklenih požarnih vrat EI 30 SC, vgradne mere, z kovinskim podbojem, vratno krilo stekleno varnostno  EI30 (100+60/220 cm), trojna nasadila, okovje standardno, kljuka enostavne oblike, krtačen krom, ločen ščit ključavnice, kot npr. Hoppe, cilindrična ključavnica, sistemski ključ, podboji kovinski, barvani v barvi po izbiri arhitekta, vključno z vsem pritrdilnim in tesnilnim materialom ter transporti, vrata na evakuacijski poti odpiranje po SIST EN 1125,  izvedba vrat po izbiri arhitekta in priloženih shemah, samozapiralo. Dodatna oprema: grafična oznaka na vratnem krilu; steklene površine; grafika izrezana iz barvne samolepilne nalepke po načrtu projektanta;  </t>
  </si>
  <si>
    <t xml:space="preserve">Izdelava, dobava in montaža notranjih steklenih vrat, vgradne mere, z kovinskim podbojem, vratno krilo stekleno varnostno (100+60/220 cm), trojna nasadila, okovje standardno, kljuka enostavne oblike, krtačen krom, ločen ščit ključavnice, kot npr. Hoppe, cilindrična ključavnica, sistemski ključ, podboji kovinski, barvani v barvi po izbiri arhitekta, vključno z vsem pritrdilnim in tesnilnim materialom ter transporti, vrata na evakuacijski poti odpiranje po SIST EN 1125,  izvedba vrat po izbiri arhitekta in priloženih shemah. Dodatna oprema: grafična oznaka na vratnem krilu; steklene površine; grafika izrezana iz barvne samolepilne nalepke po načrtu projektanta;  </t>
  </si>
  <si>
    <t xml:space="preserve">Izdelava, dobava in montaža notranjih steklenih požarnih vrat EI 30 SC, vgradne mere, z kovinskim podbojem, vratno krilo leseno EI 30, trojna nasadila, okovje standardno, kljuka enostavne oblike, krtačen krom, ločen ščit ključavnice, kot npr. Hoppe, cilindrična ključavnica, sistemski ključ, podboji kovinski, barvani v barvi po izbiri arhitekta, vključno z vsem pritrdilnim in tesnilnim materialom ter transporti,  izvedba vrat po izbiri arhitekta in priloženih shemah, samozapiralo. Dodatna oprema: grafična oznaka na vratnem krilu; steklene površine; grafika izrezana iz barvne samolepilne nalepke po načrtu projektanta;  </t>
  </si>
  <si>
    <t xml:space="preserve">Izdelava, dobava in montaža notranjih lesenih vrat, vgradne mere, z kovinskim podbojem, vratno krilo s sredico iz polne perforirane plošče obloženo z laminatom, nadsvetloba varnostno termoizolacijsko steklo, zaključki masivni leseni, krilo brez brazde, suhomontažna vgradnja, trojna nasadila, okovje standardno, kljuka enostavne oblike, krtačen krom, ločen ščit ključavnice, kot npr. Hoppe, cilindrična ključavnica, sistemski ključ, zaključna letev šir. 7cm, podboji kovinski, barvani v barvi po izbiri arhitekta, vrata na evakuacijski poti odpiranje po SIST EN 0179; obsvetloba varnostno lepljeno kaljeno termoizolacijsko steklo; dim ca. 80/300 cm; vključno z vsem pritrdilnim in tesnilnim materialom ter transporti; vrata  na strani kjer so nameščeni tečaji morajo imeti zaščito pred poškodbo prstov na roki, zvočna izolirnost Rw ≥ 32 dB, izvedba vrat, po izbiri arhitekta in priloženih shemah.Dodatna oprema: grafična oznaka na vratnem krilu; steklene površine; grafika izrezana iz barvne samolepilne nalepke po načrtu projektanta;  </t>
  </si>
  <si>
    <t xml:space="preserve">Izdelava, dobava in montaža notranjih steklenih vrat, vgradne mere, z kovinskim podbojem, vratno krilo varnostno termoizolacijsko lepljeno kajleno steklo, nadsvetloba in obsvetloba steklo, trojna nasadila, okovje standardno, kljuka enostavne oblike, krtačen krom, ločen ščit ključavnice, kot npr. Hoppe, cilindrična ključavnica, sistemski ključ, zaključna letev šir. 7cm, podboji kovinski, barvani v barvi po izbiri arhitekta, vključno z vsem pritrdilnim in tesnilnim materialom ter transporti, zvočna izolirnost Rw ≥ 32 dB, po izbiri arhitekta in priloženih shemah. Dodatna oprema: grafična oznaka na vratnem krilu; steklene površine; grafika izrezana iz barvne samolepilne nalepke po načrtu projektanta;  </t>
  </si>
  <si>
    <t xml:space="preserve">Izdelava, dobava in montaža notranjih steklenih požarnih vrat EI 30 SC, vgradne mere, z kovinskim podbojem, vratno krilo stekleno varnostno  EI30, trojna nasadila, okovje standardno, kljuka enostavne oblike, krtačen krom, ločen ščit ključavnice, kot npr. Hoppe, cilindrična ključavnica, sistemski ključ, podboji kovinski, barvani v barvi po izbiri arhitekta, vključno z vsem pritrdilnim in tesnilnim materialom ter transporti, vrata na evakuacijski poti odpiranje po SIST EN 0179,  izvedba vrat po izbiri arhitekta in priloženih shemah, samozapiralo. Dodatna oprema: grafična oznaka na vratnem krilu; steklene površine; grafika izrezana iz barvne samolepilne nalepke po načrtu projektanta;  </t>
  </si>
  <si>
    <t xml:space="preserve">Izdelava, dobava in montaža notranjih steklenih vrat/steklene stene, vgradne mere, z kovinskim podbojem, vratno krilo termoizolacijsko stekleno varnostno, fiksni del termoizolacijsko varnostno steklo, trojna nasadila, okovje standardno, kljuka enostavne oblike, krtačen krom, ločen ščit ključavnice, kot npr. Hoppe, cilindrična ključavnica, sistemski ključ, podboji kovinski, barvani v barvi po izbiri arhitekta, vključno z vsem pritrdilnim in tesnilnim materialom ter transporti,  izvedba vrat po izbiri arhitekta in priloženih shemah. Dodatna oprema: grafična oznaka na vratnem krilu; steklene površine; grafika izrezana iz barvne samolepilne nalepke po načrtu projektanta;  </t>
  </si>
  <si>
    <t>Izdelava, dobava in montaža notranjih steklenih požarnih vrat/steklene stene EI 30 SC, vgradne mere, z kovinskim podbojem, 2x vratno krilo stekleno varnostno  EI30, 6x fix polja, trojna nasadila, okovje standardno, kljuka enostavne oblike, krtačen krom, ločen ščit ključavnice, kot npr. Hoppe, cilindrična ključavnica, sistemski ključ, podboji kovinski, barvani v barvi po izbiri arhitekta, vključno z vsem pritrdilnim in tesnilnim materialom ter transporti, vrata na evakuacijski poti odpiranje po SIST EN 0179,  izvedba vrat po izbiri arhitekta in priloženih shemah, samozapiralo; zaščita proti priprtju prstov (transparentna, talni odbojnik) Dodatna oprema: grafična oznaka na vratnem krilu; steklene površine; grafika izrezana iz barvne samolepilne nalepke po načrtu projektanta.</t>
  </si>
  <si>
    <t>380/235 cm</t>
  </si>
  <si>
    <t xml:space="preserve">Kompletna izdelava in montaža notranje kovinske stopniščne ograje, vročecinkane, prašno barvane po RAL, kot npr. TIGER Drylac; višine 120 cm; nosilni stebriči 70/50/4 mm, vmes vročecinkane vertikalne palice 12  mm, barvane po RAL; pritrjevanje ograje bočno na AB konstrukcijo preko sidrnih ploščic 170/200/18 mm; vključno predpriprava in uskladitev za montažo lesenega držala za odrasle in otroke na višini 120 in 60 cm; iz ploščatega železa 70/8 mm; ročaj 70/40 mm iz masivnega lesa, zaobljeni robovi; izvedba ograje poševno in horizontalno. Delavniški načrt izdela izvajalec, potrdi ga arhitekt!
V ceno je zajeti tudi vsa potrebna pomožna dela in transporte do mesta vgraditve. Višina ograje 120 cm.
</t>
  </si>
  <si>
    <t xml:space="preserve">Kompletna izdelava in montaža notranje kovinske stopniščne ograje v telovadnici, vročecinkane, prašno barvane po RAL, kot npr. TIGER Drylac; višine 100 cm; nosilni stebriči 70/50/4 mm, vmes vročecinkane vertikalne palice 40/10 mm, razmik 8 cm, barvane po RAL; pritrjevanje ograje z vrha na AB stopnice, pritrjevanje preko vročecinkanega, prašno barvanega ploščatega železa 50/8, ki se vijači v AB konstrukcijo; vključno cinkan in barvan ploščati ročaj ograje 50/8 mm, vsi vogali zaobljeni; izvedba ograje poševno in horizontalno. Delavniški načrt izdela izvajalec, potrdi ga arhitekt!
V ceno je zajeti tudi vsa potrebna pomožna dela in transporte do mesta vgraditve. Višina ograje 100 cm.
</t>
  </si>
  <si>
    <t xml:space="preserve">Kompletna izdelava in montaža zunanje kovinske ograje, vročecinkane, prašno barvane po RAL; višine 160 cm (+28 cm); nosilni stebriči 70/50/4, vmes vročecinkane vertikalne palice fi 12 mm, razmaku 8 cm, prašno barvane po RAL; pritrjevanje ograje bočno na AB konstrukcijo preko sidrnih ploščic 300/220/18 mm; vključno predpriprava in uskladitev za montažo lesenega držala, horizontali 70/8 mm iz ploščatega železa; ročaj 70/40 mm iz masivnega lesa (termično modificiran sibirski macesen), zaobljeni robovi; izvedba ograje horizontalno. Delavniški načrt izdela izvajalec, potrdi ga arhitekt!
V ceno je zajeti tudi vsa potrebna pomožna dela in transporte do mesta vgraditve. Višina ograje 160 cm (svetla mera, od tal do vrha ograje).
</t>
  </si>
  <si>
    <t xml:space="preserve">Kompletna izdelava in montaža zunanje kovinske ograje, vročecinkane, prašno barvane po RAL; višine 160 cm (+28 cm); nosilni stebriči 40/50/4, vmes vročecinkane vertikalne palice fi 12 mm, razmaku 8 cm, prašno barvane po RAL; pritrjevanje ograje bočno na AB konstrukcijo preko sidrnih ploščic 300/220/18 mm; vključno predpriprava in uskladitev za montažo lesenega držala (držalo ločena postavka pri mizarskih delih), horizontali 70/8 mm iz ploščatega železa; ročaj 70/40 mm iz masivnega lesa (termično modificiran sibirski macesen), vsi vogali zaobljeni; izvedba ograje horizontalno.  Vključno 2x vrata 95/160 cm, z kljuko, klučavnico in na vrhu z varnostnim zapahom. Delavniški načrt izdela izvajalec, potrdi ga arhitekt!
V ceno je zajeti tudi vsa potrebna pomožna dela in transporte do mesta vgraditve. Višina ograje 160 cm (svetla mera, od tal do vrha ograje).
</t>
  </si>
  <si>
    <t xml:space="preserve">Kompletna izdelava in montaža zunanje kovinske ograje, vročecinkane, prašno barvane po RAL; višine 60 cm (+20 cm); nosilni stebriči 40/40/3, vmes vročecinkane vertikalne palice fi 6 - 8  mm, razmaku 12 cm, prašno barvane po RAL; pritrjevanje ograje z vrha na AB konstrukcijo preko sidrnih ploščic 125/125/3 mm; vključno predpriprava in uskladitev za montažo lesenega držala, horizontali 70/8 mm iz ploščatega železa; ročaj 70/40 mm iz masivnega lesa (termično modificiran sibirski macesen), zaobljeni robovi;izvedba ograje horizontalno. Vključno 2x vrata 90/60 cm, z kljuko, klučavnico in na vrhu z varnostnim zapahom. Delavniški načrt izdela izvajalec, potrdi ga arhitekt!
V ceno je zajeti tudi vsa potrebna pomožna dela in transporte do mesta vgraditve. Višina ograje 160 cm (svetla mera, od tal do vrha ograje).
</t>
  </si>
  <si>
    <t xml:space="preserve">Kompletna izdelava in montaža zunanje kovinske ograje, vročecinkane, prašno barvane po RAL; višine 60 cm (+28 cm); nosilni stebriči 70/50/4 mm, vmes vročecinkane vertikalne palice fi 12 mm, razmaku 12 cm, prašno barvane po RAL; pritrjevanje ograje bočno na AB konstrukcijo preko sidrnih ploščic 300/220/18 mm; vključno predpriprava in uskladitev za montažo lesenega držala, horizontali 70/8 mm iz ploščatega železa; ročaj 70/40 mm iz masivnega lesa (termično modificiran sibirski macesen), zaobljeni robovi; vsi vogali zaobljeni; izvedba ograje horizontalno. Vključno 3x vrata 107/60 cm, z kljuko, klučavnico in na vrhu z varnostnim zapahom. Delavniški načrt izdela izvajalec, potrdi ga arhitekt!
V ceno je zajeti tudi vsa potrebna pomožna dela in transporte do mesta vgraditve. Višina ograje 60 cm (svetla mera, od tal do vrha ograje).
</t>
  </si>
  <si>
    <t xml:space="preserve">Kompletna izdelava in montaža notranje kovinske ograje na tribunah telovadnice, vročecinkane, prašno barvane po RAL, kot npr. TIGER Drylac; višine 120 cm (+30 cm); nosilni stebriči 100/80/5 mm, vmes vročecinkane vertikalne palice 80/10 mm, barvane po RAL; pritrjevanje ograje bočno na AB konstrukcijo preko sidrnih ploščic 240/180/15 mm; vključno horizontali 100/10 mm, vključno predpriprava in uskladitev za montažo lesenega držala 100/40 mm, vsi vogali zaobljeni; izvedba ograje poševno in horizontalno. Delavniški načrt izdela izvajalec, potrdi ga arhitekt!
V ceno je zajeti tudi vsa potrebna pomožna dela in transporte do mesta vgraditve. Višina ograje 150 cm.
</t>
  </si>
  <si>
    <t xml:space="preserve">Kompletna izdelava in montaža notranje kovinske ograje na galeriji, vročecinkane, prašno barvane po RAL, kot npr. TIGER Drylac; višine 120 cm (+30 cm); nosilni stebriči 100/80/5 mm, vmes vročecinkane vertikalne palice 80/10 mm, barvane po RAL; pritrjevanje ograje bočno na AB konstrukcijo preko sidrnih ploščic 240/180/15 mm; vključno horizontali 100/10 mm, vključno predpriprava in uskladitev za montažo lesenega držala 100/40 mm, vsi vogali zaobljeni; izvedba ograje poševno in horizontalno. Delavniški načrt izdela izvajalec, potrdi ga arhitekt!
V ceno je zajeti tudi vsa potrebna pomožna dela in transporte do mesta vgraditve. Višina ograje 150 cm.
</t>
  </si>
  <si>
    <t>Kompletna izvedba mavčno kartonske predelne stene (ZN3.4) v skupni debelini 25 cm, sestave;                                                                                                                ▪ mavčno kartonske plošče (GKB) položene križno na spodnji stik, d=2x12,5mm na Alu podkonstrukciji, stiki bandažirani in kitani, v mokrih prostorih 1 plošča vlagoodporna (GKFI), npr. Knauf sistem W116 ali enakovredno
▪ podkonstrukcija: iz pocinkanih ploč. profilov na razstojih 62.5 cm, med stojke je vstavljen vpenjalni (samonosni) filc iz steklene volne, razred A1 po SIST EN-13501-1,med podkonstrukcijo topolotna izolacija  λ = 0,038W/mK, debelina 50 mm, kot. npr. Knauf Insulation Naturboard fit ali enakovredno).                                                                                           ▪ instalacijski prostor                                                                                                       ▪ podkonstrukcija: iz pocinkanih ploč. profilov na razstojih 62.5 cm, med stojke je vstavljen vpenjalni (samonosni) filc iz steklene volne, razred A1 po SIST EN-13501-1,med podkonstrukcijo topolotna izolacija  λ = 0,038W/mK, debelina 50 mm, kot. npr. Knauf Insulation Naturboard fit ali enakovredno).
▪ mavčno kartonske plošče (GKB) položene križno na spodnji stik, d=2x12,5mm na Alu podkonstrukciji, stiki bandažirani in kitani, v mokrih prostorih 1 plošča vlagoodporna (GKFI), npr. Knauf sistem W116 ali enakovredno
Vključno z vsemi izvedbami za okvirje vrat ter pomožnimi, pripravljalnimi in zaključnimi deli ter vsemi potrebnimi horizontalnimi in vertikalnimi transporti!</t>
  </si>
  <si>
    <t>Kompletna dobava in polaganje finalnega heterogenega vinilnega tlaka za večje obremenitve; polaganje na izravnano podlago, z vsemi pomožnimi, pripravljalnimi in zaključnimi deli ter vsemi potrebnimi horizontalnimi in vertikalnimi transporti. 
V ceni upoštevati nizkostensko zaključno obrobo 5 cm!
Vrsta PVC tlaka in način polaganja po izboru arhitekta in investitorja!   1. Šivanje vseh delovnih stikov; prečno in vzdolžno zarezovanje, vsravljanje kovinskih moznikov in zalivanje z epoksidno smolo                              2. Dobava in nanos epoksidne smole za zapirannje vlage v estrihu do 6 % po CM (karbidna) metodi:                                                                                        3. Priprava podlage - brušenje in sesanje strojnega estriha, nanos predpremaza, vlivanje samorazlivne izravnalne mase do debeline 4 mm (nanos disperzijskega predpremaza kot npr.Schönox SHP, Uzin PE 360, Mapei Primer G, izravnava podlage z cement polimerno izravnalno maso kot npr. Schönox ZM, Uzin NC 160, Mapei Ultraplan (zahteva DIN EN 13813 C30/F6; tlačna trdnost min. 30N/mm2, upogibna trdnost min. 6N/mm2 )                                                                             4. Dobava in polaganje heterogene vinilne talne obloge skupne debeline 2 mm npr. Gerflor Taralay Impression, Takett Essential 70, IVC Concept 70, Forbo Eternal Original... Skupna debelina EN 428 2 mm, debelina pohodnega sloja EN 429 0,70 mm iz čistega PVCja, skupna teža EN 430 2800-3260gr/m2, hrbtišče VHD – odlična zvočna in udarna absorbcija, klasifikacija EN 685 34-42, ognjevarnost EN 13 501-1 Cfl-s1, antistatičnost EN 1815 &lt; 2kV, odpornost površine EN 660.1 ≤ 0,08mm - razred T, permanentna antibakteriološka in antifungicidna obdelava</t>
  </si>
  <si>
    <t xml:space="preserve">Tipski stenski zaključki iz sistema talnih ploščic - nizkostenska obroba, višine 5 cm.
</t>
  </si>
  <si>
    <t>Kompletna dobava in izdelava jeklenih ogrodij za zaprtje cevi strojnih inštalacij na strehi. Okoli cevi inštalacij (izpuh zraka, zajem zraka...) se izvede škatla iz jeklenih protikorozijsko zaščitenih npr. KC 60/60/3 cm; cevi so medsebojno varjene. Štiri cevi pa so preko sidrnih vijakov vijačene v lesneo ostrešje; Izvedno prilagajati na licu mesta. Višina celotnega ogrodja cca. 130 cm; na sredini po obodu povezave KC 60/60/3 cm. Ogrodja detaljno uskladiti pred izvedbo z izvajalcem strojnih inštalacij; izvajalec pripravi delavniški načrt! Ocena; obračun po dejanskih kg!</t>
  </si>
  <si>
    <t xml:space="preserve">Kompletna dobava in vgradnja ALU rešetke za prezračevanje sanitarnih kanalov. Zaščitna rešetka, z nosilnim okvirjem in prečnimi lamelami iz Al profilov v naravni barvi aluminija, z zaščitno mrežo iz pocinkane žice, pritrjena na podkonstrukcijo iz KC 60/60/3 mm; vsa vijačenja z nerjavečimi vijaki. </t>
  </si>
  <si>
    <t>dim. ca.120/120 cm</t>
  </si>
  <si>
    <t>dim. ca.300/30 cm</t>
  </si>
  <si>
    <t>Kompletna dobava in vgradnja pocinkanih rešetk raster npr. 10/10 cm, prašno barvanih po RAL, ortogonalna izvedba; preko ustreznih kotnikov vgrajenih v rob AB konstrukcije zidu, vključno s sidri ali vijačeno. Odprtine garaža.</t>
  </si>
  <si>
    <t>Kompletna dobava in montaža odkapa, za obdelavo robov/odkapov na stiku fasada-lesena fasada, v barvi fasade. Vključena vsa potrebna pritrjevanja in tesnjenja z UV odporno tesnilno maso. Ocena, izmeriti na licu mesta.</t>
  </si>
  <si>
    <t>Kovinske črke na fasadi
Izdelava kovinskih črk napisa na fasadi objekta (VRTEC PIKAPOLONICA, TELOVADNICA BISTRICA OB SOTLI) iz 43 črk, črke višine 25-30 cm, deb. 7mm, črke dvojne, medsebojno vijačene; izdelane iz nerjavne kovine; prašno barvane s strukturno barvo, upoštevati pritrdilni material za pritrditev na fasado z odmikom. Izvajalec pripravi delavniško risbo in 3D, potrdi arhitekt!</t>
  </si>
  <si>
    <t>LTŽ cev  DN 110 mm</t>
  </si>
  <si>
    <t>Kompletna dobava in polaganje finalnega heterogenega vinilnega tlaka za večje obremenitve; polaganje na izravnano podlago, z vsemi pomožnimi, pripravljalnimi in zaključnimi deli ter vsemi potrebnimi horizontalnimi in vertikalnimi transporti. 
V ceni upoštevati nizkostensko zaključno obrobo 5 cm!
Vrsta PVC tlaka in način polaganja po izboru arhitekta in investitorja!   1. Šivanje vseh delovnih stikov; prečno in vzdolžno zarezovanje, vsravljanje kovinskih moznikov in zalivanje z epoksidno smolo                              2. Dobava in nanos epoksidne smole za zapirannje vlage v estrihu do 6 % po CM (karbidna) metodi:                                                                                        3. Priprava podlage - brušenje in sesanje strojnega estriha, nanos predpremaza, vlivanje samorazlivne izravnalne mase do debeline 4 mm (nanos disperzijskega predpremaza kot npr.Schönox SHP, Uzin PE 360, Mapei Primer G, izravnava podlage z cement polimerno izravnalno maso kot npr. Schönox ZM, Uzin NC 160, Mapei Ultraplan (zahteva DIN EN 13813 C30/F6; tlačna trdnost min. 30N/mm2, upogibna trdnost min. 6N/mm2 )                                                                             4. Dobava in polaganje heterogene vinilne talne obloge skupne debeline 2 mm npr. Gerflor Taralay Impression, Takett Essential 70, IVC Concept 70, Forbo Eternal Original... Skupna debelina EN 428 2 mm, debelina pohodnega sloja EN 429 0,70 mm iz čistega PVCja, skupna teža EN 430 2800-3260gr/m2, hrbtišče VHD – odlična zvočna in udarna absorbcija, klasifikacija EN 685 34-42, ognjevarnost EN 13 501-1 Cfl-s1, antistatičnost EN 1815 &lt; 2kV, odpornost površine EN 660.1 ≤ 0,08mm - razred T, permanentna antibakteriološka in antifungicidna obdelava. Upoštevadi obdelavo zaključkov stopnic!</t>
  </si>
  <si>
    <t>stopnice vrtec</t>
  </si>
  <si>
    <t>Kompletna dobava in montaža samolepilne kavčuk/bitumen polietilensko hidroizolacijske membrane (npr. kot BITUTHENE 3000 ali enakovredno), trakovi širine 30-50cm. Izolacije se lepi na pred pripravljeno površino premazano z dodatnim hitro sušečim praimer (S2) premazom za boljši oprijem. Ocena!</t>
  </si>
  <si>
    <t>Kompletna izdelava požarnega reda za objekt.</t>
  </si>
  <si>
    <t>Kompletna izdelava, dobava in vgradnja
3 stopenjski čistilni predpražnik, enakovredno kot EMCO; ob robu predpražnika v estrih vgrajen RF okvir; debelina pločevine 3mm.
V ceni upoštevati: Izdelava, dobava in vgradnja okvirja predpražnika za čiščenje čevljev. Okvir je izdelan iz Rf kotnika 20x20x3 mm, ki mora biti opremljen s sidri za vzidavo. Viloksti 220/150 cm.</t>
  </si>
  <si>
    <t>Kompletna doba in montaža fasadnega odra; vključno vsa potrebna montažna in pripravljna dela, višine do 10 m.</t>
  </si>
  <si>
    <r>
      <rPr>
        <b/>
        <sz val="10"/>
        <rFont val="Arial Narrow"/>
        <family val="2"/>
        <charset val="238"/>
      </rPr>
      <t>SPLOŠNO:</t>
    </r>
    <r>
      <rPr>
        <sz val="10"/>
        <rFont val="Arial Narrow"/>
        <family val="2"/>
        <charset val="238"/>
      </rPr>
      <t xml:space="preserve"> Konstrukcije iz betona morajo biti ravne,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 Stike stari novi beton je premazati z ELASTOSILOM ali podobnim drugim proizvodom enake kvalitete. Odprtine v betonu velikosti do 0,5 m2 se ne odbijajo, opaž škatle se ne obračunava posebej. S skrbnim delom je realno dosegljiva ravnost površin skladno z DIN 18202 (tabela 3, vrstica 3).
Splošno o izgledu betonov:  Vsi betoni morajo biti izdelani v  kvalitetnem opažu in ravni. Vse betonske površine mora izvajalec predati popolnoma ravne, vse neravnine, ki bi jih bilo eventuelno potrebno izravnati  bodo upoštevane kot nekvalitetne  in gredo na račun izvajalca betonskih del! Za vse vidne stene v kleti velja kvaliteta vidnega betona! V vse postavke vgrajevanje betona zajeti notranji transport, pripravljalna, pomožna in pospravljalna dela!  Izvajalec je dolžan upoštevati načrt gradbenih konstrukcij (stopnje izpostavljenosti...)! Izvajalec mora pravočasno pred pričetkom izvedbe betonskih del predati naročniku in nadzornemu inženirju Projekt betona z vsemi sestavnimi deli po predpisih! </t>
    </r>
  </si>
  <si>
    <r>
      <rPr>
        <b/>
        <sz val="10"/>
        <rFont val="Arial Narrow"/>
        <family val="2"/>
        <charset val="238"/>
      </rPr>
      <t xml:space="preserve">OPOMBA: </t>
    </r>
    <r>
      <rPr>
        <sz val="10"/>
        <rFont val="Arial Narrow"/>
        <family val="2"/>
        <charset val="238"/>
      </rPr>
      <t xml:space="preserve">Vsa izkopana dela in transporti izkopanih materialov se obračunajo po prostornini izkopane zemljine v raščenem stanju! Skozi ves čas izvajanja zemeljskih del je potreben geomehanski nadzor! Geomehanski nadzor mora bit zajet v ceni enote! Vsa križanja, odkopavanja (obstoječih) komunalnih vodov morajo biti zajeta v ceni postavke! Pretežno zemeljska dela zajeta pri zunanji ureditvi!
</t>
    </r>
  </si>
  <si>
    <t>Zasip za temelji objekta z izkopanim materialom,  z utrjevanjem in planiranjem po plasteh; ocena</t>
  </si>
  <si>
    <t>Dobava in montaža sistema za odvod dima za poševno streho, sestavljenega iz okna s kupolo za poševno streho z vgrajenim požarnim motorjem. Okno s kupolo dim. 120/120 cm,  izdelano iz belega plastičnega ohišja višine 15 cm (polnjeno z visoko izolativno peno) in dodatnega belega plastičnega podstavka višine 15 cm (polnjeno z visoko izolativno peno), zastekljeno z dvoslojnim energijsko varčnim varnim steklom (zunanje kaljeno steklo in notranje lepljeno steklo, Uw=2,7 W/m²K) ter zaščiteno s prozorno kupolo iz akrila. Okno ima električno odpiranje in zapiranje preko integriranega elektromotorja (kot VELUX tip CSP). Elektro požarni motor kot npr. 24WDC.</t>
  </si>
  <si>
    <t>preboj v AB steni dim.50x35cm</t>
  </si>
  <si>
    <t>preboj v AB steni dim. fi 15</t>
  </si>
  <si>
    <t>preboj v AB steni dim. fi 25</t>
  </si>
  <si>
    <t>Dobava, montaža in demontaža opaža prehodov za razne
cevi skozi temelje oziroma skozi razne betonske
konstrukcije, z enkratno uporabo lesa. Ocena! Obračun po dejanskem!</t>
  </si>
  <si>
    <t>preboj v AB steni dim. fi 18</t>
  </si>
  <si>
    <t>preboj v AB steni dim.130x30 cm</t>
  </si>
  <si>
    <t>preboj v AB steni dim.35x25 cm</t>
  </si>
  <si>
    <t>preboj v AB steni dim.60x35 cm</t>
  </si>
  <si>
    <t>preboj v AB steni dim.45x15 cm</t>
  </si>
  <si>
    <t>preboj v AB steni dim.130x100 cm</t>
  </si>
  <si>
    <t>preboj v AB plošči dim.50x20 cm</t>
  </si>
  <si>
    <t>preboj v AB plošči dim.70x40 cm</t>
  </si>
  <si>
    <t>preboj v AB plošči dim.170x48 cm</t>
  </si>
  <si>
    <t>Kompletna dobava in vgradnja ALU rešetke za prezračevanje dvigala. Zaščitna rešetka, z nosilnim okvirjem in prečnimi lamelami iz Al profilov v naravni barvi aluminija, z zaščitno mrežo iz pocinkane žice; vsa vijačenja z nerjavečimi vijaki. Rešetka 80/15</t>
  </si>
  <si>
    <t>Kompletna demontaža obstoječih PVC balkonskih vrat 100/300 cm, obstoječe igralnice vrtca ter dobava in vgradnja novega PVC okna dimenzij ca. 100/180 cm (os. Po ozmeri; izvedba se potrdi na licu mesta.</t>
  </si>
  <si>
    <t>Kompletna dobava zidakov, malte in zidanje zidov iz npr. Porotherm 30 Profi debeline 30 cm. Vključno z vsemi pripravljalnimi ter pomožnimi deli in materiali. Parapet na lokaciji odstranitve vrat igralnice</t>
  </si>
  <si>
    <t>Kompletna dobava in montaža ALU obrobe na stiku ravna streha - AB atika deb 0,07 mm po barvi RAL, r.š. cca. 20 cm, v barvi RAL  vključno z vsem potrebnim tesnjenjem z UV tesnilnimi masami. Nevidno pritrjevanje.</t>
  </si>
  <si>
    <t>npr. EPS 300 v naklonu 2-20 cm,  zgornja površina mora biti odporna proti točkovnim tlačnim obremenitvam (pohodnost v času montaže in za vzdrževalna dela), mehansko pritrjena (npr. FRAGMAT)</t>
  </si>
  <si>
    <t>Letvanje strehe asimetrične dvokapnice v naklonu 12 in 23° z impregniranimi letvami 8/5 cm, vzdolžno na špirovce, za zračni most. Samo na delu vrtca. Vse izvajati skladno z navodili proizvajalca oz. dobavitelja.</t>
  </si>
  <si>
    <t>Kompletna dobava in polaganje paropropustne folije npr. URSA SECO 0,03, preklopi niso všteti. Samo na delu vrtca. Vse izvajati skladno z navodili proizvajalca oz. dobavitelja.</t>
  </si>
  <si>
    <t>Kompletna izvedba MKP stropne obloge oz. spuščenega stropa na podstrešju vrtca, vključno toplotna izolacija npr. KI Unifit 032 4x+10 cm (toplotna prevodnost λD: 0,032 W/mK), parna ovira npr. URSA SECO PRO 2, Knauf plošča GKB.
Vključno z vsemi pomožnimi, pripravljalnimi in zaključnimi
deli ter vsemi potrebnimi horizontalnimi in vertikalnimi
transporti! Ocena!</t>
  </si>
  <si>
    <t>Kompletna izvedba MKP stropne obloge oz. strop nad stopniščem_ izvedba se prilagaja strešnim oknom iz npr. Knauf Fireboard A1 30 mm, požarna odpornost RE60, vključno toplotna izolacija npr. KI Unifit 032 4x+10 cm (toplotna prevodnost λD: 0,032 W/mK), parna ovira npr. URSA SECO PRO 2.
Vključno z vsemi pomožnimi, pripravljalnimi in zaključnimi
deli ter vsemi potrebnimi horizontalnimi in vertikalnimi
transporti! Ocena!</t>
  </si>
  <si>
    <t>Kompletna dobava in montaža antivibracijske podlage, na območje pod klimate na podstrešju, kot npr. Acoustic Sylodyn, Getzner. Vključno vsa potrebna pomožna in pripravljalna dela, vertikalni in horizontalni prenosi; potrebna uskleditev glede na dejansko izbrane klimate. Izvedbo mora potrditi akustik in projektant str. inst., ocena!</t>
  </si>
  <si>
    <t>debelina 22 cm</t>
  </si>
  <si>
    <t>Letvanje na strehi  v naklonu 12 in 23° z impregniranimi letvami 8/5 cm, pritrjenih vzdolžno na HEB 140, za pritrjevanje strešne kritine. Samo na delu telovadnice. Vse izvajati skladno z navodili proizvajalca oz. dobavitelja.</t>
  </si>
  <si>
    <t>Kompletna dobava in vgradnja XPS kot npr. FIBRANxps 400L, tlačna trdnost 400 kPa, toplotna prevodnost λD: 0,035 W/mK, toplotna izolacija tal na terenu; Polaganje in izvedba skladno z navodili proizvajalca.</t>
  </si>
  <si>
    <t>Kompletna izdelava in dobava toplotne izolacije tlaka kleti (T2.1) s termoizolacijskimi ploščami iz npr. Fragmat EPS 100, , tlačna trdnost 100 kPa, toplotna prevodnost λD: 0,036 W/mK , debeline 6+10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</si>
  <si>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toplotne izolacije tlaka kleti (T2.2) s termoizolacijskimi ploščami iz npr. Fragmat EPS 150, , tlačna trdnost 100 kPa, toplotna prevodnost λD: 0,036 W/mK, debeline 2x10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</si>
  <si>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zvočne izolacije tlaka pritličja (T4.1, T4.2, T4.3, T5.1, T5.2, T5.3) s termoizolacijskimi ploščami iz npr. Fragmat EPS Silent T650, toplotna prevodnost λD: 0,043 W/mK,  1,8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</si>
  <si>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toplotne izolacije stropa v garaži (T4.1, T5.1, T6.1) s termoizolacijskimi ploščami iz Tektalan A2-SD, tlačna trdnost ≥50 kPa, toplotna prevodnost λD: 0,042 W/mK, debeline 20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</si>
  <si>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zvočne izolacije tlaka pritličja in nadstropja (T6.1, T6.3) s termoizolacijskimi ploščami iz npr. Fragmat EPS 100, tlačna trdnost 100 kPa, toplotna prevodnost λD: 0,036 W/mK, debeline 5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</si>
  <si>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zvočne izolacije tlaka pritličja in nadstropja (T7.1) s termoizolacijskimi ploščami iz npr. Fragmat EPS Silent T650, toplotna prevodnost λD: 0,043 W/mK, 3,3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</si>
  <si>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toplotne izolacije sten podstrešja s termoizolacijskimi ploščami iz npr. KI kamena mineralna volna FKD-S Thermal debeline 20 in 22 cm. Vključno s polaganjem na podlago, vsemi izrezi za preboje in ob robu, morebitnimi utori za razvod instalacij, vsemi prenosi, pomožnimi in pripravljalnimi ter pospravljalnimi deli. Vključno zaključni sloj mrežica in lepilo.
Obračun po neto površini položene toplotne izolacije.</t>
  </si>
  <si>
    <t>debelina 45 cm</t>
  </si>
  <si>
    <t>debelina 52 cm</t>
  </si>
  <si>
    <t>Kompletna dobava in vgradnja XPS kot npr. Fibran XPS 300L, tlačna trdnost 300 kPa, toplotna prevodnost λD: 0,035 W/ mK, v debelini 10 cm, vhod, nad AB ploščo; Polaganje in izvedba skladno z navodili proizvajalca.</t>
  </si>
  <si>
    <t>Kompletna dobava in vgradnja XPS kot npr. Fibran XPS 300L, tlačna trdnost 300 kPa, toplotna prevodnost λD: 0,035 W/ mK, v debelini 10 cm, kot vertikalni zaključek vkopanih zidov; Polaganje in izvedba skladno z navodili proizvajalca.</t>
  </si>
  <si>
    <t>Kompletna dobava in vgradnja XPS kot npr. Fibran XPS 300L, tlačna trdnost 300 kPa, toplotna prevodnost λD: 0,035 W/ mK, v debelini 20 cm, kot vertikalni zaključek vkopanih zidov; Polaganje in izvedba skladno z navodili proizvajalca.</t>
  </si>
  <si>
    <t>Kompletna izdelava in dobava toplotne izolacije tlaka pritličja, nadstropja in podstrešja (T4.1, T4.2, T4.3) s termoizolacijskimi ploščami iz npr. Fragmat EPS 100, tlačna trdnost 100 kPa, toplotna prevodnost λD: 0,036 W/mK, debeline 5+3 (8)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</si>
  <si>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toplotne izolacije tlaka pritličja in nadstropja (T5.1, T5.2, T5.3) s termoizolacijskimi ploščami iz npr. Fragmat EPS 100, tlačna trdnost 100 kPa, toplotna prevodnost λD: 0,036 W/ mK, debeline 5+2 (7)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</si>
  <si>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toplotne izolacije tlaka pritličja (T7.2) s termoizolacijskimi ploščami iz npr. Fragmat EPS 100, tlačna trdnost 100 kPa, toplotna prevodnost λD: 0,036 W/mK, debeline 5+5 (10) cm. Vključno s polaganjem na podlago, vsemi izrezi za preboje in ob robu, morebitnimi utori za razvod instalacij v tlaku, vsemi prenosi, pomožnimi in pripravljalnimi ter pospravljalnimi deli. 
Obračun po neto površini položene toplotne izolacije.</t>
  </si>
  <si>
    <t>Kompletna izdelava in dobava lahkega izolacijska betona, npr. Fragmat Politerm BLU FEIN; gostota betona: 110 – 350 kg/m3, toplotna prevodnost λ: 0,09 W/mK.
Vključno s polaganjem na podlago, vsemi izrezi za preboje in ob robu, morebitnimi utori za razvod instalacij v tlaku, vsemi prenosi, pomožnimi in pripravljalnimi ter pospravljalnimi deli. 
Obračun po neto površini položene toplotne izolacije.</t>
  </si>
  <si>
    <t>Dobava in pokrivanje strehe v naklonu 12 in 23°, z samonosilno strešno kritino, izolirano s plouretansko peno v debelini izolacije 80 mm, npr. ISOCOP METRAPAN, v barvi RAL 3009. V kritino so vključeni vsi potrebni tipski prezračevalni elementi na kapi (zaščitna mrežica proti mrčesu - ALU) in proti slemenu. Pokrivanje izvršiti skladno s pravili krovskih del in po navodilih proizvajalca. Pritrjevanje v lesene morale, ki so prehodno pritrejeni na kovinsko konstrukcijo ostrešja. Komplet streha.</t>
  </si>
  <si>
    <t>toplotna izolacija, npr. Fibran XPS 300L, tlačna trdnost 300 kPa, toplotna prevodnost λD: 0,035 W/ mK, 30 (20+10) cm zgornja površina mora biti odporna proti točkovnim tlačnim obremenitvam (pohodnost v času montaže in za vzdrževalna dela)</t>
  </si>
  <si>
    <t>toplotna izolacija, npr. KI Smartroof TOP 2x12 cm, , tlačna trdnost ≥70 kPa, toplotna prevodnost λD: 0,038 W/mK, zgornja površina mora biti odporna proti točkovnim tlačnim obremenitvam (pohodnost v času montaže in za vzdrževalna dela), mehansko pritrjena</t>
  </si>
  <si>
    <t xml:space="preserve">Kompletna izvedba MKP stropne obloge oz. obloge stropa telovadnice iz npr. Knauf Fireboard A1 30 mm, požarna odpornost RE60. 
Izvedba skladno z Načrtom požarne varnosti!
Vključno z vsemi pomožnimi, pripravljalnimi in zaključnimi
deli ter vsemi potrebnimi horizontalnimi in vertikalnimi
transporti! </t>
  </si>
  <si>
    <t xml:space="preserve">Kompletna dobava in polaganje toplotne izolacije nad lepljence na stropu telovadnice kot npr.KI steklena volna UNIFIT 035, toplotna prevodnost λD: 0,035 W/mK, 16 cm, vključno nad izolacijo paropropustna folija npr. Homeseal LDS 0,04 FIX PLUS. Vključno z vsemi pomožnimi, pripravljalnimi in zaključnimi
deli ter vsemi potrebnimi horizontalnimi in vertikalnimi
transporti! </t>
  </si>
  <si>
    <t xml:space="preserve">Kompletna dobava in polaganje toplotne izolacije med lepljence na stropu telovadnice kot npr. KI steklena volna UNIFIT 035, toplotna prevodnost λD: 0,035 W/mK, 24 cm. Vključno z vsemi pomožnimi, pripravljalnimi in zaključnimi deli ter vsemi potrebnimi horizontalnimi in vertikalnimi transporti! </t>
  </si>
  <si>
    <t>Dobava in izvedba zrakotesnosti pri prehodu instalacij skozi sekundarni strop telovadnice. Zrakotesnost se izvede s trajno elastično tesnilno maso kot npr. CONNECT AC 629 - LEPILO ZA MEMBRANE ali enakovredno in tesnilnim ATP trakom. Oboje se uporablja pri tesnjenje rež in netesnosti pri zagotavljanju ustrezne zrakotesnosti v skeletni in montažni gradnji. Stropne luči...elektro instalacije...preveriti po načrtu elektro instalacij.</t>
  </si>
  <si>
    <t>Razna nepredvidena dela</t>
  </si>
  <si>
    <t xml:space="preserve">Projektantki nadzor: Sodelovanje projektanta v postopku gradnje,  vključno s pregledom in potrjevanjem vzorcev barv, opreme, detajlov ter udeležbo na koordinacijskih sestankih ter tehničnim svetovanjem…. </t>
  </si>
  <si>
    <t>Izdelava PID projektov na podlagih prejetih podatkov izvajalcev in samostojnega pregleda projektanotv posameznih načrtov.</t>
  </si>
  <si>
    <t>Izdelava Izkaza požarne varnosti.</t>
  </si>
  <si>
    <t>Razna nepredvidena dela, drobna obrt. dela in zidarska pomoč obrtnikom in montažerjem, obračunana po dejansko porabljenem času in  materialu oz. po sporazumno dogovorjeni ceni za enoto; ponudnik naj za ta dela obvezno predvidi znesek v višini 3% vrednosti vseh gradbeno obrtniških del in navede vrednost ure KV in PK delavca</t>
  </si>
  <si>
    <t>DDV 22%:</t>
  </si>
  <si>
    <t>Kompletna dobava in montaža ALU oken npr. ALU-K tip C77K; barva RAL; steklo 3-slojno toplotno izolacijsko Ug=0,6 TGI; sestavo stekla uskladi steklar!                                                                                                                   - Povprečna vrednost toplotne prehodnosti profilov Uf  je od 1,1 -1,4 W/m²K, izračun v skladu z EN 10077-2,
- Uw = 0,9 W/m²K, Ug = 0,5 W/m²K (warm edge-topli rob),
- Akustični parametri stekla Rw = do 32 dB(-2; -4)
- prepustnost zraka razred 4.
- Vodotesnost E1500, 
- Odpornost proti vetru C5                                                                                      - Protivlomni razred RC1
Kljuke ALU-K NOVAE, tip Rondo ali Quadro oz. po potrditvi arhitekta. Vključno vsi potrebni razširitveni/slepi profili. Upoštevati RAL montažo. Ter vključno zunanje ALU police. Mere oken so podane po gradbenih odprtinah. Po shemah.</t>
  </si>
  <si>
    <t>Kompletna dobava in montaža ALU fasadnega sistema npr. ALU-K tip SL50-ITR; barva RAL, steklo Ug=0,6 TGI                                                                                                                      - Povprečna vrednost toplotne prehodnosti profilov Uf  je od 1,1-1,4 W/m²K, izračun v skladu z EN 10077-2,
- Ucw = 1,1 W/m²K,  steklo 3-slojno toplotno izolacijsko Ug = 0,5 W/m²K (warm edge-topli rob). 
- Prepustnost zraka, razred A4                                                                                                                                   - Akustični parametri stekla Rw = do 32 dB(-2; -4)
- Vodotesnost RE 1500, poročilo o preizkusu ITC 
- Odpornost proti vetru: projektno (2000Pa), varnostno 3000Pa)                                                                            
Odpirljiv del odpiranje z elektro motorji npr. Gezze NF100. Vključno vsi potrebni razširitveni/slepi profili. Upoštevati RAL montažo. Ter vključno zunanje ALU police. Mere oken so podane po gradbenih odprtinah. Po shemah.</t>
  </si>
  <si>
    <t>Kompletna dobava in montaža ALU fasadnega sistema npr. ALU-K tip C77K+vratni sistem D77; barva RAL; Ug=0,6 TGI                                                                                                                      - Povprečna vrednost toplotne prehodnosti profilov Uf  je od 1,1-1,4 W/m²K, izračun v skladu z EN 10077-2,
- Ucw = 1,1 W/m²K, steklo 3-slojno toplotno izolacijsko Ug = 0,5 W/m²K (warm edge-topli rob) 
- Prepustnost zraka, razred A4 za fiksni element in razred 4 za odpirajoči element, 
- Vodotesnost RE 1500
- Odpornost proti vetru: projektno (2000Pa), varnostno (3000Pa)                  Kljuke ALU-K NOVAE, tip Rondo ali Quadro oz. po potrditvi arhitekta.                                                                          
Vključno vsi potrebni razširitveni/slepi profili. Upoštevati RAL montažo; cilindrična ključavnica, sistemski ključ. Ter vključno zunanje ALU police. Mere oken so podane po gradbenih odprtinah. Po shemah.</t>
  </si>
  <si>
    <t xml:space="preserve">Kompletna dobava in montaža ALU vrat npr. ALU-K tip SL50-vratni sistem D77; barva RAL, vratno krilo varnostno lepljeno kaljeno steklo;                                                                                                                                              - Povprečna vrednost toplotne prehodnosti profilov Uf  je od 1,1W/m²K, izračun v skladu z EN 10077-2,
- Ud = od 1,0 W/m²K, steklo 3-slojno toplotno izolacijsko Ug = 0,5 W/m²K (warm edge-topli rob)
- Akustični parametri Rw = do 44dB(-2; -6)
- prepustnost zraka razred 3 
- Vodotesnost 2B
- Odpornost proti vetru C5
- Protivlomni razred RC1                                                                                                          Kljuke ALU-K NOVAE, tip Rondo ali Quadro oz. po potrditvi arhitekta.                                                                                                Dodatna oprema: grafična oznaka na vratnem krilu; steklene površine; grafika izrezana iz barvne samolepilne nalepke po načrtu projektanta;                                                                   
Vključno vsi potrebni razširitveni/slepi profili. Upoštevati RAL montažo; cilindrična ključavnica, sistemski ključ. Ter vključno zunanje ALU police. Mere oken so podane po gradbenih odprtinah. Po shemah.
</t>
  </si>
  <si>
    <t>Kompletna dobava in montaža ALU okenskega sistema npr. ALU-K tip C77K+vratni sistem D77; barva RAL, steklo varnostno lepljeno kaljeno; Ug=0,6 TGI                                                                                                                      - Povprečna vrednost toplotne prehodnosti profilov Uf  je od 1,1-1,4 W/m²K, izračun v skladu z EN 10077-2,
- Ucw = 1,1 W/m²K,  steklo 3-slojno toplotno izolacijsko Ug = 0,5 W/m²K (warm edge-topli rob)     
- Prepustnost zraka, razred A4 za fiksni element in razred 4 za odpirajoči element, 
- Vodotesnost RE 1500
- Odpornost proti vetru: projektno (2000Pa), varnostno 3000Pa) - prvključno predpriprava za električno ključavnico na vratih VZ9                 Kljuke ALU-K NOVAE, tip Rondo ali Quadro oz. po potrditvi arhitekta.                                                                                                Dodatna oprema: grafična oznaka na vratnem krilu; steklene površine; grafika izrezana iz barvne samolepilne nalepke po načrtu projektanta;                                                                
Vključno vsi potrebni razširitveni/slepi profili. Upoštevati RAL montažo; cilindrična ključavnica, sistemski ključ. Ter vključno zunanje ALU police. Mere oken so podane po gradbenih odprtinah. Po shemah.</t>
  </si>
  <si>
    <t>VZ1_100/220 cm; enokrilna vrata; vrata na evakuaciji poti, odpiranje po SIST EN 10179 (ALU polnilo; Ud&lt;0,9 W/m2K)</t>
  </si>
  <si>
    <t xml:space="preserve">Kompletna dobava in montaža ALU vrat npr. vratni sistem D77; barva RAL, vratno krilo ALU polnilo                                                                        - Povprečna vrednost toplotne prehodnosti profilov Uf  je od 1,1W/m²K, izračun v skladu z EN 10077-2,
- Skupni izračun - Ud = od 1,0 W/m²K
- Akustični parametri Rw = do 44dB(-2; -6)
- prepustnost zraka razred 3 
- Vodotesnost 2B
- Odpornost proti vetru C5
- Protivlomni razred RC1                                                                                                          Kljuke ALU-K NOVAE, tip Rondo ali Quadro oz. po potrditvi arhitekta.                                                                                                                Dodatna oprema: grafična oznaka na vratnem krilu; steklene površine; grafika izrezana iz barvne samolepilne nalepke po načrtu projektanta;                                                                 
Vključno vsi potrebni razširitveni/slepi profili. Upoštevati RAL montažo; cilindrična ključavnica, sistemski ključ. Ter vključno zunanje ALU police. Mere oken so podane po gradbenih odprtinah. Po shemah.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</si>
</sst>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quot;_-;\-* #,##0.00\ &quot;€&quot;_-;_-* &quot;-&quot;??\ &quot;€&quot;_-;_-@_-"/>
    <numFmt numFmtId="165" formatCode="_-* #,##0.00\ _€_-;\-* #,##0.00\ _€_-;_-* &quot;-&quot;??\ _€_-;_-@_-"/>
    <numFmt numFmtId="166" formatCode="#,##0.00\ [$€-1]"/>
    <numFmt numFmtId="167" formatCode="#&quot;.&quot;"/>
    <numFmt numFmtId="168" formatCode="#,##0.0&quot;0&quot;"/>
  </numFmts>
  <fonts count="44">
    <font>
      <sz val="10"/>
      <name val="Arial CE"/>
      <charset val="238"/>
    </font>
    <font>
      <sz val="10"/>
      <name val="Arial CE"/>
      <charset val="238"/>
    </font>
    <font>
      <b/>
      <sz val="10"/>
      <name val="Arial CE"/>
      <family val="2"/>
      <charset val="238"/>
    </font>
    <font>
      <sz val="8"/>
      <name val="Arial CE"/>
      <charset val="238"/>
    </font>
    <font>
      <b/>
      <sz val="10"/>
      <name val="Arial CE"/>
      <charset val="238"/>
    </font>
    <font>
      <sz val="10"/>
      <name val="Calibri"/>
      <family val="2"/>
      <charset val="238"/>
    </font>
    <font>
      <sz val="10"/>
      <name val="Arial CE"/>
      <family val="2"/>
      <charset val="238"/>
    </font>
    <font>
      <i/>
      <sz val="10"/>
      <name val="Arial CE"/>
      <charset val="238"/>
    </font>
    <font>
      <b/>
      <sz val="10"/>
      <name val="DINCE-Regular"/>
      <charset val="238"/>
    </font>
    <font>
      <sz val="10"/>
      <name val="DINCE-Regular"/>
      <charset val="238"/>
    </font>
    <font>
      <sz val="10"/>
      <color rgb="FFFF0000"/>
      <name val="DINCE-Regular"/>
      <charset val="238"/>
    </font>
    <font>
      <b/>
      <sz val="11"/>
      <name val="DINCE-Regular"/>
      <charset val="238"/>
    </font>
    <font>
      <b/>
      <sz val="12"/>
      <name val="DINCE-Regular"/>
      <charset val="238"/>
    </font>
    <font>
      <sz val="12"/>
      <name val="DINCE-Regular"/>
      <charset val="238"/>
    </font>
    <font>
      <sz val="11"/>
      <name val="Verdana"/>
      <family val="2"/>
      <charset val="238"/>
    </font>
    <font>
      <sz val="11"/>
      <color indexed="8"/>
      <name val="Calibri"/>
      <family val="2"/>
      <charset val="1"/>
    </font>
    <font>
      <sz val="10"/>
      <name val="Arial"/>
      <family val="2"/>
      <charset val="238"/>
    </font>
    <font>
      <b/>
      <sz val="10"/>
      <name val="Arial"/>
      <family val="2"/>
      <charset val="238"/>
    </font>
    <font>
      <i/>
      <sz val="10"/>
      <name val="Arial"/>
      <family val="2"/>
      <charset val="238"/>
    </font>
    <font>
      <sz val="10"/>
      <name val="Swis721 Cn BT"/>
      <family val="2"/>
    </font>
    <font>
      <b/>
      <sz val="10"/>
      <name val="Swis721 Cn BT"/>
      <family val="2"/>
    </font>
    <font>
      <i/>
      <sz val="10"/>
      <name val="Swis721 Cn BT"/>
      <family val="2"/>
    </font>
    <font>
      <b/>
      <i/>
      <sz val="10"/>
      <name val="Swis721 Cn BT"/>
      <family val="2"/>
    </font>
    <font>
      <b/>
      <sz val="12"/>
      <name val="Arial"/>
      <family val="2"/>
      <charset val="238"/>
    </font>
    <font>
      <sz val="12"/>
      <name val="Arial"/>
      <family val="2"/>
      <charset val="238"/>
    </font>
    <font>
      <b/>
      <sz val="10"/>
      <name val="Arial Narrow"/>
      <family val="2"/>
      <charset val="238"/>
    </font>
    <font>
      <sz val="10"/>
      <name val="Arial Narrow"/>
      <family val="2"/>
      <charset val="238"/>
    </font>
    <font>
      <sz val="10"/>
      <color rgb="FFFF0000"/>
      <name val="Arial Narrow"/>
      <family val="2"/>
      <charset val="238"/>
    </font>
    <font>
      <i/>
      <sz val="10"/>
      <color rgb="FFFF0000"/>
      <name val="Arial Narrow"/>
      <family val="2"/>
      <charset val="238"/>
    </font>
    <font>
      <b/>
      <sz val="10"/>
      <color rgb="FFFF0000"/>
      <name val="Arial Narrow"/>
      <family val="2"/>
      <charset val="238"/>
    </font>
    <font>
      <b/>
      <sz val="8"/>
      <color rgb="FFFF0000"/>
      <name val="Arial Narrow"/>
      <family val="2"/>
      <charset val="238"/>
    </font>
    <font>
      <b/>
      <sz val="9"/>
      <name val="Arial Narrow"/>
      <family val="2"/>
      <charset val="238"/>
    </font>
    <font>
      <sz val="9"/>
      <name val="Arial Narrow"/>
      <family val="2"/>
      <charset val="238"/>
    </font>
    <font>
      <i/>
      <sz val="10"/>
      <name val="Arial Narrow"/>
      <family val="2"/>
      <charset val="238"/>
    </font>
    <font>
      <sz val="10"/>
      <color theme="1"/>
      <name val="Arial Narrow"/>
      <family val="2"/>
      <charset val="238"/>
    </font>
    <font>
      <b/>
      <sz val="10"/>
      <color theme="1"/>
      <name val="Arial Narrow"/>
      <family val="2"/>
      <charset val="238"/>
    </font>
    <font>
      <b/>
      <i/>
      <sz val="10"/>
      <color rgb="FFFF0000"/>
      <name val="Arial Narrow"/>
      <family val="2"/>
      <charset val="238"/>
    </font>
    <font>
      <b/>
      <i/>
      <sz val="10"/>
      <name val="Arial Narrow"/>
      <family val="2"/>
      <charset val="238"/>
    </font>
    <font>
      <u/>
      <sz val="10"/>
      <name val="Arial Narrow"/>
      <family val="2"/>
      <charset val="238"/>
    </font>
    <font>
      <vertAlign val="superscript"/>
      <sz val="10"/>
      <name val="Arial Narrow"/>
      <family val="2"/>
      <charset val="238"/>
    </font>
    <font>
      <b/>
      <sz val="12"/>
      <name val="Arial Narrow"/>
      <family val="2"/>
      <charset val="238"/>
    </font>
    <font>
      <sz val="12"/>
      <name val="Arial Narrow"/>
      <family val="2"/>
      <charset val="238"/>
    </font>
    <font>
      <b/>
      <sz val="14"/>
      <name val="Arial Narrow"/>
      <family val="2"/>
      <charset val="238"/>
    </font>
    <font>
      <sz val="11"/>
      <name val="Arial CE"/>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3"/>
      </top>
      <bottom/>
      <diagonal/>
    </border>
  </borders>
  <cellStyleXfs count="10">
    <xf numFmtId="0" fontId="0" fillId="0" borderId="0"/>
    <xf numFmtId="0" fontId="6" fillId="0" borderId="0"/>
    <xf numFmtId="0" fontId="1" fillId="0" borderId="0"/>
    <xf numFmtId="0" fontId="14" fillId="0" borderId="0"/>
    <xf numFmtId="0" fontId="6" fillId="0" borderId="0"/>
    <xf numFmtId="0" fontId="15" fillId="0" borderId="0"/>
    <xf numFmtId="165" fontId="1" fillId="0" borderId="0" applyFont="0" applyFill="0" applyBorder="0" applyAlignment="0" applyProtection="0"/>
    <xf numFmtId="0" fontId="16" fillId="0" borderId="0"/>
    <xf numFmtId="0" fontId="16" fillId="0" borderId="0"/>
    <xf numFmtId="168" fontId="43" fillId="0" borderId="0"/>
  </cellStyleXfs>
  <cellXfs count="446">
    <xf numFmtId="0" fontId="0" fillId="0" borderId="0" xfId="0"/>
    <xf numFmtId="0" fontId="2" fillId="0" borderId="0" xfId="0" applyFont="1"/>
    <xf numFmtId="0" fontId="4" fillId="0" borderId="0" xfId="0" applyFont="1"/>
    <xf numFmtId="0" fontId="4" fillId="0" borderId="0" xfId="0" applyFont="1" applyAlignment="1">
      <alignment horizontal="center"/>
    </xf>
    <xf numFmtId="0" fontId="0" fillId="0" borderId="0" xfId="0" applyAlignment="1">
      <alignment vertical="top" wrapText="1"/>
    </xf>
    <xf numFmtId="0" fontId="4" fillId="0" borderId="0" xfId="0" applyFont="1"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4" fillId="0" borderId="0" xfId="0" applyFont="1" applyAlignment="1">
      <alignment horizontal="right" vertical="top"/>
    </xf>
    <xf numFmtId="0" fontId="4" fillId="0" borderId="0" xfId="0" applyFont="1" applyAlignment="1">
      <alignment vertical="top"/>
    </xf>
    <xf numFmtId="0" fontId="1" fillId="0" borderId="0" xfId="0" applyFont="1"/>
    <xf numFmtId="0" fontId="5" fillId="0" borderId="1" xfId="0" applyFont="1" applyBorder="1" applyAlignment="1">
      <alignment horizontal="center"/>
    </xf>
    <xf numFmtId="0" fontId="4" fillId="2" borderId="2" xfId="0" applyFont="1" applyFill="1" applyBorder="1"/>
    <xf numFmtId="0" fontId="0" fillId="2" borderId="2" xfId="0" applyFill="1" applyBorder="1"/>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2" fontId="0" fillId="2" borderId="2" xfId="0" applyNumberFormat="1" applyFill="1" applyBorder="1" applyAlignment="1">
      <alignment horizontal="center" vertical="center"/>
    </xf>
    <xf numFmtId="4" fontId="0" fillId="2" borderId="2" xfId="0" applyNumberFormat="1" applyFill="1" applyBorder="1" applyAlignment="1">
      <alignment horizontal="center" vertical="center" wrapText="1"/>
    </xf>
    <xf numFmtId="0" fontId="0" fillId="0" borderId="0" xfId="0" applyAlignment="1">
      <alignment horizontal="right" vertical="top"/>
    </xf>
    <xf numFmtId="0" fontId="0" fillId="0" borderId="0" xfId="0" applyAlignment="1">
      <alignment horizontal="left" vertical="top"/>
    </xf>
    <xf numFmtId="2" fontId="0" fillId="0" borderId="0" xfId="0" applyNumberFormat="1" applyAlignment="1">
      <alignment horizontal="right" vertical="top"/>
    </xf>
    <xf numFmtId="4" fontId="0" fillId="0" borderId="0" xfId="0" applyNumberFormat="1" applyAlignment="1">
      <alignment vertical="top"/>
    </xf>
    <xf numFmtId="0" fontId="0" fillId="0" borderId="0" xfId="0" applyAlignment="1">
      <alignment horizontal="justify" vertical="top" wrapText="1"/>
    </xf>
    <xf numFmtId="0" fontId="0" fillId="0" borderId="0" xfId="0" applyAlignment="1">
      <alignment horizontal="center"/>
    </xf>
    <xf numFmtId="2" fontId="0" fillId="0" borderId="0" xfId="0" applyNumberFormat="1" applyAlignment="1">
      <alignment horizontal="right"/>
    </xf>
    <xf numFmtId="4" fontId="0" fillId="0" borderId="0" xfId="0" applyNumberFormat="1" applyAlignment="1">
      <alignment horizontal="right"/>
    </xf>
    <xf numFmtId="0" fontId="0" fillId="0" borderId="1" xfId="0" applyBorder="1" applyAlignment="1">
      <alignment vertical="top" wrapText="1"/>
    </xf>
    <xf numFmtId="0" fontId="0" fillId="0" borderId="1" xfId="0" applyBorder="1" applyAlignment="1">
      <alignment horizontal="left" vertical="top"/>
    </xf>
    <xf numFmtId="2" fontId="0" fillId="0" borderId="1" xfId="0" applyNumberFormat="1" applyBorder="1" applyAlignment="1">
      <alignment horizontal="right" vertical="top"/>
    </xf>
    <xf numFmtId="0" fontId="0" fillId="0" borderId="3" xfId="0" applyBorder="1" applyAlignment="1">
      <alignment horizontal="right" vertical="top"/>
    </xf>
    <xf numFmtId="0" fontId="0" fillId="2" borderId="5" xfId="0" applyFill="1" applyBorder="1"/>
    <xf numFmtId="4" fontId="0" fillId="0" borderId="0" xfId="0" applyNumberFormat="1" applyAlignment="1">
      <alignment horizontal="right" vertical="top"/>
    </xf>
    <xf numFmtId="2" fontId="0" fillId="0" borderId="0" xfId="0" applyNumberFormat="1" applyAlignment="1">
      <alignment horizontal="justify" vertical="top" wrapText="1"/>
    </xf>
    <xf numFmtId="0" fontId="4" fillId="0" borderId="1" xfId="0" applyFont="1" applyBorder="1" applyAlignment="1">
      <alignment vertical="top" wrapText="1"/>
    </xf>
    <xf numFmtId="0" fontId="4" fillId="0" borderId="1" xfId="0" applyFont="1" applyBorder="1" applyAlignment="1">
      <alignment horizontal="center"/>
    </xf>
    <xf numFmtId="2" fontId="4" fillId="0" borderId="1" xfId="0" applyNumberFormat="1" applyFont="1" applyBorder="1" applyAlignment="1">
      <alignment horizontal="right" vertical="top"/>
    </xf>
    <xf numFmtId="4" fontId="4" fillId="0" borderId="1" xfId="0" applyNumberFormat="1" applyFont="1" applyBorder="1" applyAlignment="1">
      <alignment vertical="top"/>
    </xf>
    <xf numFmtId="2" fontId="4" fillId="0" borderId="0" xfId="0" applyNumberFormat="1" applyFont="1" applyAlignment="1">
      <alignment horizontal="right" vertical="top"/>
    </xf>
    <xf numFmtId="4" fontId="4" fillId="0" borderId="0" xfId="0" applyNumberFormat="1" applyFont="1" applyAlignment="1">
      <alignment vertical="top"/>
    </xf>
    <xf numFmtId="0" fontId="4" fillId="0" borderId="3" xfId="0" applyFont="1" applyBorder="1" applyAlignment="1">
      <alignment horizontal="right" vertical="top"/>
    </xf>
    <xf numFmtId="0" fontId="0" fillId="0" borderId="0" xfId="0" applyAlignment="1">
      <alignment horizontal="justify" vertical="justify"/>
    </xf>
    <xf numFmtId="0" fontId="0" fillId="0" borderId="0" xfId="0" applyAlignment="1">
      <alignment horizontal="right"/>
    </xf>
    <xf numFmtId="0" fontId="0" fillId="0" borderId="0" xfId="0" applyAlignment="1">
      <alignment horizontal="center" vertical="top"/>
    </xf>
    <xf numFmtId="4" fontId="0" fillId="0" borderId="1" xfId="0" applyNumberFormat="1" applyBorder="1" applyAlignment="1">
      <alignment vertical="top"/>
    </xf>
    <xf numFmtId="0" fontId="4" fillId="0" borderId="1" xfId="0" applyFont="1" applyBorder="1" applyAlignment="1">
      <alignment horizontal="left" vertical="top"/>
    </xf>
    <xf numFmtId="0" fontId="4" fillId="0" borderId="0" xfId="0" applyFont="1" applyAlignment="1">
      <alignment horizontal="left" vertical="top"/>
    </xf>
    <xf numFmtId="0" fontId="0" fillId="0" borderId="1" xfId="0" applyBorder="1" applyAlignment="1">
      <alignment horizontal="right" vertical="top"/>
    </xf>
    <xf numFmtId="4" fontId="0" fillId="0" borderId="0" xfId="0" applyNumberFormat="1" applyAlignment="1">
      <alignment horizontal="left" vertical="top"/>
    </xf>
    <xf numFmtId="166" fontId="0" fillId="0" borderId="0" xfId="0" applyNumberFormat="1" applyAlignment="1">
      <alignment vertical="top"/>
    </xf>
    <xf numFmtId="0" fontId="6" fillId="0" borderId="0" xfId="0" applyFont="1"/>
    <xf numFmtId="0" fontId="6" fillId="0" borderId="0" xfId="0" applyFont="1" applyAlignment="1">
      <alignment horizontal="center"/>
    </xf>
    <xf numFmtId="0" fontId="6" fillId="0" borderId="0" xfId="0" applyFont="1" applyAlignment="1">
      <alignment vertical="top" wrapText="1"/>
    </xf>
    <xf numFmtId="0" fontId="6" fillId="2" borderId="4" xfId="0" applyFont="1" applyFill="1" applyBorder="1" applyAlignment="1">
      <alignment horizontal="left" vertical="center"/>
    </xf>
    <xf numFmtId="0" fontId="6" fillId="2" borderId="2" xfId="0" applyFont="1" applyFill="1" applyBorder="1" applyAlignment="1">
      <alignment horizontal="center" vertical="center" wrapText="1"/>
    </xf>
    <xf numFmtId="2" fontId="6" fillId="2" borderId="2" xfId="0" applyNumberFormat="1" applyFont="1" applyFill="1" applyBorder="1" applyAlignment="1">
      <alignment horizontal="center" vertical="center"/>
    </xf>
    <xf numFmtId="4" fontId="6" fillId="2" borderId="2" xfId="0" applyNumberFormat="1" applyFont="1" applyFill="1" applyBorder="1" applyAlignment="1">
      <alignment horizontal="center" vertical="center" wrapText="1"/>
    </xf>
    <xf numFmtId="0" fontId="6" fillId="0" borderId="0" xfId="0" applyFont="1" applyAlignment="1">
      <alignment horizontal="right" vertical="top"/>
    </xf>
    <xf numFmtId="0" fontId="6" fillId="0" borderId="0" xfId="0" applyFont="1" applyAlignment="1">
      <alignment horizontal="left" vertical="top"/>
    </xf>
    <xf numFmtId="2" fontId="6" fillId="0" borderId="0" xfId="0" applyNumberFormat="1" applyFont="1" applyAlignment="1">
      <alignment horizontal="right" vertical="top"/>
    </xf>
    <xf numFmtId="4" fontId="6" fillId="0" borderId="0" xfId="0" applyNumberFormat="1" applyFont="1" applyAlignment="1">
      <alignment vertical="top"/>
    </xf>
    <xf numFmtId="0" fontId="6" fillId="0" borderId="0" xfId="0" applyFont="1" applyAlignment="1">
      <alignment horizontal="left" vertical="top" wrapText="1" indent="1"/>
    </xf>
    <xf numFmtId="4" fontId="6" fillId="0" borderId="0" xfId="0" applyNumberFormat="1" applyFont="1" applyAlignment="1">
      <alignment horizontal="right" vertical="top"/>
    </xf>
    <xf numFmtId="0" fontId="2" fillId="0" borderId="1" xfId="0" applyFont="1" applyBorder="1" applyAlignment="1">
      <alignment horizontal="left" vertical="top"/>
    </xf>
    <xf numFmtId="2" fontId="2" fillId="0" borderId="1" xfId="0" applyNumberFormat="1" applyFont="1" applyBorder="1" applyAlignment="1">
      <alignment horizontal="right" vertical="top"/>
    </xf>
    <xf numFmtId="4" fontId="2" fillId="0" borderId="1" xfId="0" applyNumberFormat="1" applyFont="1" applyBorder="1" applyAlignment="1">
      <alignment vertical="top"/>
    </xf>
    <xf numFmtId="4" fontId="2" fillId="0" borderId="0" xfId="0" applyNumberFormat="1" applyFont="1" applyAlignment="1">
      <alignment vertical="top"/>
    </xf>
    <xf numFmtId="0" fontId="2" fillId="0" borderId="1" xfId="0" applyFont="1" applyBorder="1" applyAlignment="1">
      <alignment horizontal="right" vertical="top"/>
    </xf>
    <xf numFmtId="0" fontId="0" fillId="0" borderId="0" xfId="0" applyAlignment="1">
      <alignment wrapText="1"/>
    </xf>
    <xf numFmtId="0" fontId="0" fillId="0" borderId="1" xfId="0" applyBorder="1" applyAlignment="1">
      <alignment wrapText="1"/>
    </xf>
    <xf numFmtId="4" fontId="0" fillId="0" borderId="1" xfId="0" applyNumberFormat="1" applyBorder="1" applyAlignment="1">
      <alignment horizontal="right"/>
    </xf>
    <xf numFmtId="4" fontId="0" fillId="0" borderId="0" xfId="0" applyNumberFormat="1"/>
    <xf numFmtId="0" fontId="4" fillId="2" borderId="1" xfId="0" applyFont="1" applyFill="1" applyBorder="1"/>
    <xf numFmtId="0" fontId="0" fillId="2" borderId="1" xfId="0" applyFill="1" applyBorder="1"/>
    <xf numFmtId="0" fontId="2" fillId="2" borderId="2" xfId="0" applyFont="1" applyFill="1" applyBorder="1" applyAlignment="1">
      <alignment horizontal="left" vertical="top"/>
    </xf>
    <xf numFmtId="2" fontId="2" fillId="2" borderId="2" xfId="0" applyNumberFormat="1" applyFont="1" applyFill="1" applyBorder="1" applyAlignment="1">
      <alignment horizontal="right" vertical="top"/>
    </xf>
    <xf numFmtId="4" fontId="2" fillId="2" borderId="2" xfId="0" applyNumberFormat="1" applyFont="1" applyFill="1" applyBorder="1" applyAlignment="1">
      <alignment vertical="top"/>
    </xf>
    <xf numFmtId="4" fontId="2" fillId="2" borderId="5" xfId="0" applyNumberFormat="1" applyFont="1" applyFill="1" applyBorder="1" applyAlignment="1">
      <alignment vertical="top"/>
    </xf>
    <xf numFmtId="0" fontId="6" fillId="2" borderId="0" xfId="0" applyFont="1" applyFill="1"/>
    <xf numFmtId="0" fontId="4" fillId="2" borderId="0" xfId="0" applyFont="1" applyFill="1"/>
    <xf numFmtId="0" fontId="0" fillId="2" borderId="0" xfId="0" applyFill="1"/>
    <xf numFmtId="0" fontId="4" fillId="0" borderId="3" xfId="0" applyFont="1" applyBorder="1" applyAlignment="1">
      <alignment vertical="top" wrapText="1"/>
    </xf>
    <xf numFmtId="0" fontId="0" fillId="0" borderId="3" xfId="0" applyBorder="1" applyAlignment="1">
      <alignment horizontal="center"/>
    </xf>
    <xf numFmtId="4" fontId="4" fillId="0" borderId="0" xfId="0" applyNumberFormat="1" applyFont="1" applyAlignment="1">
      <alignment horizontal="right" vertical="top"/>
    </xf>
    <xf numFmtId="4" fontId="4" fillId="0" borderId="0" xfId="0" applyNumberFormat="1" applyFont="1"/>
    <xf numFmtId="0" fontId="2" fillId="2" borderId="0" xfId="0" applyFont="1" applyFill="1"/>
    <xf numFmtId="0" fontId="6" fillId="0" borderId="0" xfId="0" applyFont="1" applyAlignment="1">
      <alignment horizontal="center" vertical="top"/>
    </xf>
    <xf numFmtId="4" fontId="0" fillId="2" borderId="2" xfId="0" applyNumberFormat="1" applyFill="1" applyBorder="1"/>
    <xf numFmtId="4" fontId="0" fillId="2" borderId="0" xfId="0" applyNumberFormat="1" applyFill="1"/>
    <xf numFmtId="4" fontId="0" fillId="2" borderId="2" xfId="0" applyNumberFormat="1" applyFill="1" applyBorder="1" applyAlignment="1">
      <alignment horizontal="center" vertical="center"/>
    </xf>
    <xf numFmtId="4" fontId="0" fillId="0" borderId="1" xfId="0" applyNumberFormat="1" applyBorder="1" applyAlignment="1">
      <alignment horizontal="right" vertical="top"/>
    </xf>
    <xf numFmtId="0" fontId="0" fillId="0" borderId="6" xfId="0" applyBorder="1" applyAlignment="1">
      <alignment horizontal="right" vertical="top"/>
    </xf>
    <xf numFmtId="0" fontId="0" fillId="0" borderId="6" xfId="0" applyBorder="1" applyAlignment="1">
      <alignment vertical="top" wrapText="1"/>
    </xf>
    <xf numFmtId="0" fontId="0" fillId="2" borderId="4" xfId="0" applyFill="1" applyBorder="1" applyAlignment="1">
      <alignment horizontal="left" vertical="center"/>
    </xf>
    <xf numFmtId="0" fontId="4" fillId="2" borderId="4" xfId="0" applyFont="1" applyFill="1" applyBorder="1" applyAlignment="1">
      <alignment horizontal="right"/>
    </xf>
    <xf numFmtId="0" fontId="0" fillId="0" borderId="0" xfId="0" applyAlignment="1">
      <alignment horizontal="justify" vertical="justify" wrapText="1"/>
    </xf>
    <xf numFmtId="2" fontId="0" fillId="0" borderId="0" xfId="0" applyNumberFormat="1"/>
    <xf numFmtId="0" fontId="0" fillId="0" borderId="0" xfId="0" applyAlignment="1">
      <alignment vertical="top"/>
    </xf>
    <xf numFmtId="0" fontId="7" fillId="0" borderId="0" xfId="0" applyFont="1" applyAlignment="1">
      <alignment vertical="top" wrapText="1"/>
    </xf>
    <xf numFmtId="2" fontId="6" fillId="0" borderId="0" xfId="0" applyNumberFormat="1" applyFont="1" applyAlignment="1">
      <alignment horizontal="right"/>
    </xf>
    <xf numFmtId="4" fontId="6" fillId="0" borderId="0" xfId="0" applyNumberFormat="1" applyFont="1"/>
    <xf numFmtId="4" fontId="6" fillId="0" borderId="0" xfId="0" applyNumberFormat="1" applyFont="1" applyAlignment="1">
      <alignment horizontal="right"/>
    </xf>
    <xf numFmtId="4" fontId="4" fillId="0" borderId="0" xfId="0" applyNumberFormat="1" applyFont="1" applyAlignment="1">
      <alignment horizontal="left" vertical="top"/>
    </xf>
    <xf numFmtId="166" fontId="0" fillId="0" borderId="1" xfId="0" applyNumberFormat="1" applyBorder="1" applyAlignment="1">
      <alignment vertical="top"/>
    </xf>
    <xf numFmtId="4" fontId="7" fillId="0" borderId="0" xfId="0" applyNumberFormat="1" applyFont="1" applyAlignment="1">
      <alignment wrapText="1"/>
    </xf>
    <xf numFmtId="0" fontId="7" fillId="0" borderId="0" xfId="0" applyFont="1" applyAlignment="1">
      <alignment wrapText="1"/>
    </xf>
    <xf numFmtId="166" fontId="0" fillId="0" borderId="0" xfId="0" applyNumberFormat="1"/>
    <xf numFmtId="0" fontId="0" fillId="0" borderId="0" xfId="0" applyAlignment="1">
      <alignment horizontal="right" wrapText="1"/>
    </xf>
    <xf numFmtId="4" fontId="0" fillId="2" borderId="5" xfId="0" applyNumberFormat="1" applyFill="1" applyBorder="1" applyAlignment="1">
      <alignment horizontal="center" vertical="center"/>
    </xf>
    <xf numFmtId="0" fontId="2" fillId="2" borderId="4" xfId="0" applyFont="1" applyFill="1" applyBorder="1" applyAlignment="1">
      <alignment horizontal="right" vertical="top"/>
    </xf>
    <xf numFmtId="2" fontId="4" fillId="0" borderId="3" xfId="0" applyNumberFormat="1" applyFont="1" applyBorder="1" applyAlignment="1">
      <alignment horizontal="right" vertical="top"/>
    </xf>
    <xf numFmtId="2" fontId="4" fillId="0" borderId="0" xfId="0" applyNumberFormat="1" applyFont="1" applyAlignment="1">
      <alignment horizontal="right"/>
    </xf>
    <xf numFmtId="0" fontId="9" fillId="0" borderId="0" xfId="0" applyFont="1"/>
    <xf numFmtId="0" fontId="10" fillId="0" borderId="0" xfId="0" applyFont="1"/>
    <xf numFmtId="4" fontId="9" fillId="0" borderId="0" xfId="0" applyNumberFormat="1" applyFont="1"/>
    <xf numFmtId="0" fontId="8" fillId="0" borderId="0" xfId="0" applyFont="1"/>
    <xf numFmtId="0" fontId="8" fillId="0" borderId="0" xfId="0" applyFont="1" applyAlignment="1">
      <alignment horizontal="right" vertical="center"/>
    </xf>
    <xf numFmtId="0" fontId="12" fillId="0" borderId="0" xfId="0" applyFont="1"/>
    <xf numFmtId="0" fontId="13" fillId="0" borderId="0" xfId="0" applyFont="1"/>
    <xf numFmtId="4" fontId="13" fillId="0" borderId="0" xfId="0" applyNumberFormat="1" applyFont="1"/>
    <xf numFmtId="0" fontId="12" fillId="0" borderId="0" xfId="0" applyFont="1" applyAlignment="1">
      <alignment horizontal="right"/>
    </xf>
    <xf numFmtId="0" fontId="12" fillId="0" borderId="0" xfId="0" applyFont="1" applyAlignment="1">
      <alignment horizontal="right" vertical="center"/>
    </xf>
    <xf numFmtId="0" fontId="12" fillId="0" borderId="3" xfId="0" applyFont="1" applyBorder="1" applyAlignment="1">
      <alignment horizontal="right" vertical="center"/>
    </xf>
    <xf numFmtId="0" fontId="11" fillId="0" borderId="3" xfId="0" applyFont="1" applyBorder="1" applyAlignment="1">
      <alignment vertical="top"/>
    </xf>
    <xf numFmtId="0" fontId="13" fillId="0" borderId="3" xfId="0" applyFont="1" applyBorder="1"/>
    <xf numFmtId="4" fontId="13" fillId="0" borderId="3" xfId="0" applyNumberFormat="1" applyFont="1" applyBorder="1"/>
    <xf numFmtId="0" fontId="16" fillId="0" borderId="4" xfId="0" applyFont="1" applyBorder="1" applyAlignment="1">
      <alignment horizontal="left" vertical="center"/>
    </xf>
    <xf numFmtId="0" fontId="16" fillId="0" borderId="2" xfId="0" applyFont="1" applyBorder="1" applyAlignment="1">
      <alignment horizontal="left" vertical="center" wrapText="1"/>
    </xf>
    <xf numFmtId="0" fontId="16" fillId="0" borderId="2" xfId="0" applyFont="1" applyBorder="1" applyAlignment="1">
      <alignment horizontal="center" wrapText="1"/>
    </xf>
    <xf numFmtId="4" fontId="16" fillId="0" borderId="2" xfId="0" applyNumberFormat="1" applyFont="1" applyBorder="1" applyAlignment="1">
      <alignment horizontal="right" vertical="center"/>
    </xf>
    <xf numFmtId="4" fontId="16" fillId="0" borderId="2" xfId="0" applyNumberFormat="1" applyFont="1" applyBorder="1" applyAlignment="1">
      <alignment horizontal="center" vertical="center" wrapText="1"/>
    </xf>
    <xf numFmtId="4" fontId="16" fillId="0" borderId="5" xfId="0" applyNumberFormat="1" applyFont="1" applyBorder="1" applyAlignment="1">
      <alignment horizontal="center" vertical="center"/>
    </xf>
    <xf numFmtId="0" fontId="16" fillId="0" borderId="0" xfId="0" applyFont="1"/>
    <xf numFmtId="0" fontId="16" fillId="0" borderId="0" xfId="0" applyFont="1" applyAlignment="1">
      <alignment horizontal="right" vertical="top"/>
    </xf>
    <xf numFmtId="0" fontId="16" fillId="0" borderId="0" xfId="0" applyFont="1" applyAlignment="1">
      <alignment horizontal="center"/>
    </xf>
    <xf numFmtId="4" fontId="16" fillId="0" borderId="0" xfId="0" applyNumberFormat="1" applyFont="1" applyAlignment="1">
      <alignment vertical="top"/>
    </xf>
    <xf numFmtId="164" fontId="17" fillId="0" borderId="0" xfId="0" applyNumberFormat="1" applyFont="1" applyAlignment="1">
      <alignment horizontal="right"/>
    </xf>
    <xf numFmtId="4" fontId="17" fillId="0" borderId="0" xfId="0" applyNumberFormat="1" applyFont="1" applyAlignment="1">
      <alignment horizontal="right"/>
    </xf>
    <xf numFmtId="0" fontId="17" fillId="0" borderId="4" xfId="0" applyFont="1" applyBorder="1" applyAlignment="1">
      <alignment horizontal="right"/>
    </xf>
    <xf numFmtId="0" fontId="17" fillId="0" borderId="2" xfId="0" applyFont="1" applyBorder="1"/>
    <xf numFmtId="0" fontId="16" fillId="0" borderId="2" xfId="0" applyFont="1" applyBorder="1" applyAlignment="1">
      <alignment horizontal="center"/>
    </xf>
    <xf numFmtId="4" fontId="17" fillId="0" borderId="2" xfId="0" applyNumberFormat="1" applyFont="1" applyBorder="1" applyAlignment="1">
      <alignment horizontal="right"/>
    </xf>
    <xf numFmtId="4" fontId="16" fillId="0" borderId="2" xfId="0" applyNumberFormat="1" applyFont="1" applyBorder="1"/>
    <xf numFmtId="4" fontId="16" fillId="0" borderId="5" xfId="0" applyNumberFormat="1" applyFont="1" applyBorder="1"/>
    <xf numFmtId="0" fontId="17" fillId="0" borderId="0" xfId="0" applyFont="1" applyAlignment="1">
      <alignment vertical="top"/>
    </xf>
    <xf numFmtId="164" fontId="17" fillId="0" borderId="0" xfId="0" applyNumberFormat="1" applyFont="1" applyAlignment="1">
      <alignment vertical="top"/>
    </xf>
    <xf numFmtId="0" fontId="17" fillId="0" borderId="3" xfId="0" applyFont="1" applyBorder="1"/>
    <xf numFmtId="4" fontId="16" fillId="0" borderId="3" xfId="0" applyNumberFormat="1" applyFont="1" applyBorder="1"/>
    <xf numFmtId="0" fontId="18" fillId="0" borderId="0" xfId="0" applyFont="1" applyAlignment="1">
      <alignment horizontal="left" vertical="top" wrapText="1"/>
    </xf>
    <xf numFmtId="4" fontId="16" fillId="0" borderId="0" xfId="0" applyNumberFormat="1" applyFont="1"/>
    <xf numFmtId="0" fontId="16" fillId="0" borderId="0" xfId="0" applyFont="1" applyAlignment="1">
      <alignment vertical="top" wrapText="1"/>
    </xf>
    <xf numFmtId="0" fontId="16" fillId="0" borderId="3" xfId="0" applyFont="1" applyBorder="1" applyAlignment="1">
      <alignment wrapText="1"/>
    </xf>
    <xf numFmtId="0" fontId="16" fillId="0" borderId="3" xfId="0" applyFont="1" applyBorder="1" applyAlignment="1">
      <alignment horizontal="center"/>
    </xf>
    <xf numFmtId="4" fontId="17" fillId="0" borderId="3" xfId="0" applyNumberFormat="1" applyFont="1" applyBorder="1" applyAlignment="1">
      <alignment horizontal="right"/>
    </xf>
    <xf numFmtId="0" fontId="16" fillId="0" borderId="3" xfId="0" applyFont="1" applyBorder="1"/>
    <xf numFmtId="0" fontId="16" fillId="0" borderId="0" xfId="1" applyFont="1" applyAlignment="1" applyProtection="1">
      <alignment vertical="top" wrapText="1"/>
      <protection locked="0"/>
    </xf>
    <xf numFmtId="0" fontId="19" fillId="0" borderId="0" xfId="0" applyFont="1"/>
    <xf numFmtId="4" fontId="19" fillId="0" borderId="0" xfId="0" applyNumberFormat="1" applyFont="1"/>
    <xf numFmtId="0" fontId="20" fillId="0" borderId="0" xfId="0" applyFont="1" applyAlignment="1">
      <alignment vertical="top"/>
    </xf>
    <xf numFmtId="0" fontId="20" fillId="0" borderId="4" xfId="0" applyFont="1" applyBorder="1" applyAlignment="1">
      <alignment horizontal="right"/>
    </xf>
    <xf numFmtId="0" fontId="20" fillId="0" borderId="2" xfId="0" applyFont="1" applyBorder="1"/>
    <xf numFmtId="0" fontId="19" fillId="0" borderId="3" xfId="0" applyFont="1" applyBorder="1"/>
    <xf numFmtId="4" fontId="19" fillId="0" borderId="3" xfId="0" applyNumberFormat="1" applyFont="1" applyBorder="1"/>
    <xf numFmtId="0" fontId="19" fillId="0" borderId="4" xfId="0" applyFont="1" applyBorder="1" applyAlignment="1">
      <alignment horizontal="left" vertical="center"/>
    </xf>
    <xf numFmtId="0" fontId="19" fillId="0" borderId="2" xfId="0" applyFont="1" applyBorder="1" applyAlignment="1">
      <alignment horizontal="left" vertical="center" wrapText="1"/>
    </xf>
    <xf numFmtId="0" fontId="19" fillId="0" borderId="2" xfId="0" applyFont="1" applyBorder="1" applyAlignment="1">
      <alignment horizontal="center" vertical="center" wrapText="1"/>
    </xf>
    <xf numFmtId="4" fontId="19" fillId="0" borderId="2" xfId="0" applyNumberFormat="1" applyFont="1" applyBorder="1" applyAlignment="1">
      <alignment horizontal="center" vertical="center"/>
    </xf>
    <xf numFmtId="4" fontId="19" fillId="0" borderId="2" xfId="0" applyNumberFormat="1" applyFont="1" applyBorder="1" applyAlignment="1">
      <alignment horizontal="center" vertical="center" wrapText="1"/>
    </xf>
    <xf numFmtId="4" fontId="19" fillId="0" borderId="5" xfId="0" applyNumberFormat="1" applyFont="1" applyBorder="1" applyAlignment="1">
      <alignment horizontal="center" vertical="center"/>
    </xf>
    <xf numFmtId="0" fontId="19" fillId="0" borderId="0" xfId="0" applyFont="1" applyAlignment="1">
      <alignment horizontal="right" vertical="top"/>
    </xf>
    <xf numFmtId="4" fontId="19" fillId="0" borderId="0" xfId="0" applyNumberFormat="1" applyFont="1" applyAlignment="1">
      <alignment horizontal="right"/>
    </xf>
    <xf numFmtId="4" fontId="20" fillId="0" borderId="0" xfId="0" applyNumberFormat="1" applyFont="1" applyAlignment="1">
      <alignment horizontal="right"/>
    </xf>
    <xf numFmtId="0" fontId="19" fillId="0" borderId="3" xfId="0" applyFont="1" applyBorder="1" applyAlignment="1">
      <alignment horizontal="right" vertical="top"/>
    </xf>
    <xf numFmtId="0" fontId="19" fillId="0" borderId="3" xfId="0" applyFont="1" applyBorder="1" applyAlignment="1">
      <alignment wrapText="1"/>
    </xf>
    <xf numFmtId="4" fontId="19" fillId="0" borderId="0" xfId="0" applyNumberFormat="1" applyFont="1" applyAlignment="1">
      <alignment horizontal="right" vertical="top"/>
    </xf>
    <xf numFmtId="4" fontId="19" fillId="0" borderId="0" xfId="0" applyNumberFormat="1" applyFont="1" applyAlignment="1">
      <alignment vertical="top"/>
    </xf>
    <xf numFmtId="164" fontId="20" fillId="0" borderId="0" xfId="0" applyNumberFormat="1" applyFont="1" applyAlignment="1">
      <alignment vertical="top"/>
    </xf>
    <xf numFmtId="164" fontId="20" fillId="0" borderId="0" xfId="0" applyNumberFormat="1" applyFont="1" applyAlignment="1">
      <alignment horizontal="right"/>
    </xf>
    <xf numFmtId="0" fontId="19" fillId="0" borderId="2" xfId="0" applyFont="1" applyBorder="1"/>
    <xf numFmtId="4" fontId="19" fillId="0" borderId="2" xfId="0" applyNumberFormat="1" applyFont="1" applyBorder="1"/>
    <xf numFmtId="4" fontId="19" fillId="0" borderId="5" xfId="0" applyNumberFormat="1" applyFont="1" applyBorder="1"/>
    <xf numFmtId="0" fontId="20" fillId="0" borderId="3" xfId="0" applyFont="1" applyBorder="1"/>
    <xf numFmtId="0" fontId="19" fillId="0" borderId="0" xfId="0" applyFont="1" applyAlignment="1">
      <alignment horizontal="center"/>
    </xf>
    <xf numFmtId="49" fontId="19" fillId="0" borderId="0" xfId="0" applyNumberFormat="1" applyFont="1" applyAlignment="1">
      <alignment horizontal="right" vertical="top"/>
    </xf>
    <xf numFmtId="4" fontId="19" fillId="0" borderId="0" xfId="0" applyNumberFormat="1" applyFont="1" applyAlignment="1">
      <alignment horizontal="center"/>
    </xf>
    <xf numFmtId="0" fontId="19" fillId="0" borderId="0" xfId="0" applyFont="1" applyAlignment="1">
      <alignment horizontal="justify" vertical="top" wrapText="1"/>
    </xf>
    <xf numFmtId="0" fontId="21" fillId="0" borderId="0" xfId="0" applyFont="1" applyAlignment="1">
      <alignment horizontal="left" vertical="top" wrapText="1"/>
    </xf>
    <xf numFmtId="0" fontId="19" fillId="0" borderId="0" xfId="0" applyFont="1" applyAlignment="1">
      <alignment horizontal="left" vertical="top"/>
    </xf>
    <xf numFmtId="0" fontId="19" fillId="0" borderId="0" xfId="0" applyFont="1" applyAlignment="1">
      <alignment vertical="top" wrapText="1"/>
    </xf>
    <xf numFmtId="0" fontId="19" fillId="0" borderId="1" xfId="0" applyFont="1" applyBorder="1" applyAlignment="1">
      <alignment horizontal="left" vertical="top"/>
    </xf>
    <xf numFmtId="4" fontId="20" fillId="0" borderId="1" xfId="0" applyNumberFormat="1" applyFont="1" applyBorder="1" applyAlignment="1">
      <alignment horizontal="right" vertical="top"/>
    </xf>
    <xf numFmtId="4" fontId="19" fillId="0" borderId="1" xfId="0" applyNumberFormat="1" applyFont="1" applyBorder="1"/>
    <xf numFmtId="0" fontId="19" fillId="0" borderId="0" xfId="0" applyFont="1" applyAlignment="1">
      <alignment horizontal="left"/>
    </xf>
    <xf numFmtId="0" fontId="22" fillId="0" borderId="0" xfId="0" applyFont="1"/>
    <xf numFmtId="0" fontId="21" fillId="0" borderId="0" xfId="0" applyFont="1"/>
    <xf numFmtId="49" fontId="19" fillId="0" borderId="0" xfId="3" applyNumberFormat="1" applyFont="1" applyAlignment="1">
      <alignment horizontal="center"/>
    </xf>
    <xf numFmtId="0" fontId="19" fillId="0" borderId="0" xfId="0" applyFont="1" applyAlignment="1">
      <alignment horizontal="justify" vertical="top"/>
    </xf>
    <xf numFmtId="0" fontId="16" fillId="0" borderId="0" xfId="0" applyFont="1" applyProtection="1">
      <protection locked="0"/>
    </xf>
    <xf numFmtId="4" fontId="16" fillId="0" borderId="0" xfId="0" applyNumberFormat="1" applyFont="1" applyProtection="1">
      <protection locked="0"/>
    </xf>
    <xf numFmtId="0" fontId="23" fillId="0" borderId="0" xfId="0" applyFont="1" applyAlignment="1" applyProtection="1">
      <alignment horizontal="right"/>
      <protection locked="0"/>
    </xf>
    <xf numFmtId="0" fontId="24" fillId="0" borderId="0" xfId="0" applyFont="1" applyProtection="1">
      <protection locked="0"/>
    </xf>
    <xf numFmtId="0" fontId="23" fillId="0" borderId="0" xfId="0" applyFont="1" applyProtection="1">
      <protection locked="0"/>
    </xf>
    <xf numFmtId="4" fontId="24" fillId="0" borderId="0" xfId="0" applyNumberFormat="1" applyFont="1" applyProtection="1">
      <protection locked="0"/>
    </xf>
    <xf numFmtId="0" fontId="17" fillId="0" borderId="0" xfId="0" applyFont="1" applyAlignment="1" applyProtection="1">
      <alignment horizontal="right" vertical="center"/>
      <protection locked="0"/>
    </xf>
    <xf numFmtId="0" fontId="17" fillId="0" borderId="0" xfId="0" applyFont="1" applyProtection="1">
      <protection locked="0"/>
    </xf>
    <xf numFmtId="0" fontId="16" fillId="0" borderId="1" xfId="0" applyFont="1" applyBorder="1" applyProtection="1">
      <protection locked="0"/>
    </xf>
    <xf numFmtId="4" fontId="16" fillId="0" borderId="1" xfId="0" applyNumberFormat="1" applyFont="1" applyBorder="1" applyProtection="1">
      <protection locked="0"/>
    </xf>
    <xf numFmtId="0" fontId="17" fillId="0" borderId="0" xfId="0" applyFont="1" applyAlignment="1" applyProtection="1">
      <alignment vertical="top"/>
      <protection locked="0"/>
    </xf>
    <xf numFmtId="0" fontId="25" fillId="0" borderId="4" xfId="0" applyFont="1" applyBorder="1" applyAlignment="1" applyProtection="1">
      <alignment horizontal="right"/>
      <protection locked="0"/>
    </xf>
    <xf numFmtId="0" fontId="25" fillId="0" borderId="2" xfId="0" applyFont="1" applyBorder="1" applyProtection="1">
      <protection locked="0"/>
    </xf>
    <xf numFmtId="4" fontId="25" fillId="0" borderId="2" xfId="0" applyNumberFormat="1" applyFont="1" applyBorder="1" applyProtection="1">
      <protection locked="0"/>
    </xf>
    <xf numFmtId="4" fontId="25" fillId="0" borderId="5" xfId="0" applyNumberFormat="1" applyFont="1" applyBorder="1" applyProtection="1">
      <protection locked="0"/>
    </xf>
    <xf numFmtId="0" fontId="25" fillId="0" borderId="0" xfId="0" applyFont="1" applyProtection="1">
      <protection locked="0"/>
    </xf>
    <xf numFmtId="0" fontId="26" fillId="0" borderId="3" xfId="0" applyFont="1" applyBorder="1" applyProtection="1">
      <protection locked="0"/>
    </xf>
    <xf numFmtId="4" fontId="26" fillId="0" borderId="3" xfId="0" applyNumberFormat="1" applyFont="1" applyBorder="1" applyProtection="1">
      <protection locked="0"/>
    </xf>
    <xf numFmtId="0" fontId="26" fillId="0" borderId="0" xfId="0" applyFont="1" applyProtection="1">
      <protection locked="0"/>
    </xf>
    <xf numFmtId="0" fontId="27" fillId="0" borderId="0" xfId="0" applyFont="1" applyProtection="1">
      <protection locked="0"/>
    </xf>
    <xf numFmtId="0" fontId="26" fillId="0" borderId="4" xfId="0" applyFont="1" applyBorder="1" applyAlignment="1" applyProtection="1">
      <alignment horizontal="left" vertical="center"/>
      <protection locked="0"/>
    </xf>
    <xf numFmtId="0" fontId="26" fillId="0" borderId="2" xfId="0" applyFont="1" applyBorder="1" applyAlignment="1" applyProtection="1">
      <alignment horizontal="left" vertical="center" wrapText="1"/>
      <protection locked="0"/>
    </xf>
    <xf numFmtId="0" fontId="26" fillId="0" borderId="2" xfId="0" applyFont="1" applyBorder="1" applyAlignment="1" applyProtection="1">
      <alignment horizontal="center" vertical="center" wrapText="1"/>
      <protection locked="0"/>
    </xf>
    <xf numFmtId="4" fontId="26" fillId="0" borderId="2" xfId="0" applyNumberFormat="1" applyFont="1" applyBorder="1" applyAlignment="1" applyProtection="1">
      <alignment horizontal="center" vertical="center"/>
      <protection locked="0"/>
    </xf>
    <xf numFmtId="4" fontId="26" fillId="0" borderId="2" xfId="0" applyNumberFormat="1" applyFont="1" applyBorder="1" applyAlignment="1" applyProtection="1">
      <alignment horizontal="center" vertical="center" wrapText="1"/>
      <protection locked="0"/>
    </xf>
    <xf numFmtId="4" fontId="26" fillId="0" borderId="5" xfId="0" applyNumberFormat="1" applyFont="1" applyBorder="1" applyAlignment="1" applyProtection="1">
      <alignment horizontal="center" vertical="center"/>
      <protection locked="0"/>
    </xf>
    <xf numFmtId="0" fontId="26" fillId="0" borderId="0" xfId="0" applyFont="1" applyAlignment="1" applyProtection="1">
      <alignment horizontal="right" vertical="top"/>
      <protection locked="0"/>
    </xf>
    <xf numFmtId="0" fontId="26" fillId="0" borderId="0" xfId="0" applyFont="1" applyAlignment="1" applyProtection="1">
      <alignment vertical="top" wrapText="1"/>
      <protection locked="0"/>
    </xf>
    <xf numFmtId="0" fontId="26" fillId="0" borderId="0" xfId="0" applyFont="1" applyAlignment="1" applyProtection="1">
      <alignment horizontal="center"/>
      <protection locked="0"/>
    </xf>
    <xf numFmtId="4" fontId="26" fillId="0" borderId="0" xfId="0" applyNumberFormat="1" applyFont="1" applyAlignment="1" applyProtection="1">
      <alignment horizontal="right"/>
      <protection locked="0"/>
    </xf>
    <xf numFmtId="4" fontId="26" fillId="0" borderId="0" xfId="0" applyNumberFormat="1" applyFont="1" applyAlignment="1" applyProtection="1">
      <alignment horizontal="center"/>
      <protection locked="0"/>
    </xf>
    <xf numFmtId="167" fontId="26" fillId="0" borderId="0" xfId="7" applyNumberFormat="1" applyFont="1" applyAlignment="1">
      <alignment horizontal="right" vertical="top"/>
    </xf>
    <xf numFmtId="0" fontId="26" fillId="0" borderId="0" xfId="0" applyFont="1" applyAlignment="1">
      <alignment horizontal="justify" vertical="top" wrapText="1"/>
    </xf>
    <xf numFmtId="0" fontId="26" fillId="0" borderId="0" xfId="0" applyFont="1" applyAlignment="1">
      <alignment horizontal="center"/>
    </xf>
    <xf numFmtId="4" fontId="25" fillId="0" borderId="0" xfId="0" applyNumberFormat="1" applyFont="1" applyAlignment="1">
      <alignment horizontal="right"/>
    </xf>
    <xf numFmtId="164" fontId="25" fillId="0" borderId="0" xfId="0" applyNumberFormat="1" applyFont="1" applyAlignment="1">
      <alignment horizontal="right"/>
    </xf>
    <xf numFmtId="0" fontId="26" fillId="0" borderId="0" xfId="0" applyFont="1" applyAlignment="1">
      <alignment horizontal="right" vertical="top"/>
    </xf>
    <xf numFmtId="0" fontId="26" fillId="0" borderId="0" xfId="3" applyFont="1" applyAlignment="1">
      <alignment vertical="top" wrapText="1"/>
    </xf>
    <xf numFmtId="0" fontId="26" fillId="0" borderId="0" xfId="7" applyFont="1" applyAlignment="1">
      <alignment vertical="top" wrapText="1"/>
    </xf>
    <xf numFmtId="0" fontId="26" fillId="0" borderId="0" xfId="3" applyFont="1" applyAlignment="1" applyProtection="1">
      <alignment vertical="top" wrapText="1"/>
      <protection locked="0"/>
    </xf>
    <xf numFmtId="4" fontId="25" fillId="0" borderId="0" xfId="0" applyNumberFormat="1" applyFont="1" applyAlignment="1" applyProtection="1">
      <alignment horizontal="right"/>
      <protection locked="0"/>
    </xf>
    <xf numFmtId="4" fontId="26" fillId="0" borderId="0" xfId="0" applyNumberFormat="1" applyFont="1" applyAlignment="1">
      <alignment horizontal="center"/>
    </xf>
    <xf numFmtId="0" fontId="26" fillId="0" borderId="3" xfId="0" applyFont="1" applyBorder="1" applyAlignment="1" applyProtection="1">
      <alignment horizontal="right" vertical="top"/>
      <protection locked="0"/>
    </xf>
    <xf numFmtId="0" fontId="26" fillId="0" borderId="3" xfId="0" applyFont="1" applyBorder="1" applyAlignment="1" applyProtection="1">
      <alignment wrapText="1"/>
      <protection locked="0"/>
    </xf>
    <xf numFmtId="0" fontId="26" fillId="0" borderId="3" xfId="0" applyFont="1" applyBorder="1" applyAlignment="1" applyProtection="1">
      <alignment horizontal="left"/>
      <protection locked="0"/>
    </xf>
    <xf numFmtId="4" fontId="26" fillId="0" borderId="3" xfId="0" applyNumberFormat="1" applyFont="1" applyBorder="1" applyAlignment="1" applyProtection="1">
      <alignment horizontal="right"/>
      <protection locked="0"/>
    </xf>
    <xf numFmtId="4" fontId="26" fillId="0" borderId="3" xfId="0" applyNumberFormat="1" applyFont="1" applyBorder="1"/>
    <xf numFmtId="0" fontId="25" fillId="0" borderId="0" xfId="0" applyFont="1" applyAlignment="1" applyProtection="1">
      <alignment vertical="top"/>
      <protection locked="0"/>
    </xf>
    <xf numFmtId="4" fontId="26" fillId="0" borderId="0" xfId="0" applyNumberFormat="1" applyFont="1" applyAlignment="1" applyProtection="1">
      <alignment horizontal="right" vertical="top"/>
      <protection locked="0"/>
    </xf>
    <xf numFmtId="4" fontId="26" fillId="0" borderId="0" xfId="0" applyNumberFormat="1" applyFont="1" applyAlignment="1" applyProtection="1">
      <alignment vertical="top"/>
      <protection locked="0"/>
    </xf>
    <xf numFmtId="164" fontId="25" fillId="0" borderId="0" xfId="0" applyNumberFormat="1" applyFont="1" applyAlignment="1">
      <alignment vertical="top"/>
    </xf>
    <xf numFmtId="0" fontId="28" fillId="0" borderId="0" xfId="0" applyFont="1" applyProtection="1">
      <protection locked="0"/>
    </xf>
    <xf numFmtId="4" fontId="27" fillId="0" borderId="0" xfId="0" applyNumberFormat="1" applyFont="1" applyProtection="1">
      <protection locked="0"/>
    </xf>
    <xf numFmtId="4" fontId="26" fillId="0" borderId="0" xfId="7" applyNumberFormat="1" applyFont="1" applyAlignment="1">
      <alignment horizontal="center" wrapText="1"/>
    </xf>
    <xf numFmtId="4" fontId="25" fillId="0" borderId="0" xfId="7" applyNumberFormat="1" applyFont="1" applyAlignment="1">
      <alignment horizontal="right" wrapText="1"/>
    </xf>
    <xf numFmtId="4" fontId="26" fillId="0" borderId="0" xfId="7" applyNumberFormat="1" applyFont="1" applyAlignment="1" applyProtection="1">
      <alignment horizontal="right" wrapText="1"/>
      <protection locked="0"/>
    </xf>
    <xf numFmtId="164" fontId="25" fillId="0" borderId="0" xfId="7" applyNumberFormat="1" applyFont="1" applyAlignment="1">
      <alignment horizontal="right" wrapText="1"/>
    </xf>
    <xf numFmtId="0" fontId="26" fillId="0" borderId="2" xfId="0" applyFont="1" applyBorder="1" applyProtection="1">
      <protection locked="0"/>
    </xf>
    <xf numFmtId="4" fontId="26" fillId="0" borderId="2" xfId="0" applyNumberFormat="1" applyFont="1" applyBorder="1" applyProtection="1">
      <protection locked="0"/>
    </xf>
    <xf numFmtId="4" fontId="26" fillId="0" borderId="5" xfId="0" applyNumberFormat="1" applyFont="1" applyBorder="1" applyProtection="1">
      <protection locked="0"/>
    </xf>
    <xf numFmtId="165" fontId="26" fillId="0" borderId="0" xfId="6" applyFont="1" applyFill="1" applyProtection="1">
      <protection locked="0"/>
    </xf>
    <xf numFmtId="164" fontId="25" fillId="0" borderId="0" xfId="0" applyNumberFormat="1" applyFont="1" applyAlignment="1" applyProtection="1">
      <alignment horizontal="right"/>
      <protection locked="0"/>
    </xf>
    <xf numFmtId="0" fontId="25" fillId="0" borderId="3" xfId="0" applyFont="1" applyBorder="1" applyProtection="1">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left" vertical="center" wrapText="1"/>
      <protection locked="0"/>
    </xf>
    <xf numFmtId="0" fontId="26" fillId="0" borderId="0" xfId="0" applyFont="1" applyAlignment="1" applyProtection="1">
      <alignment horizontal="center" vertical="center" wrapText="1"/>
      <protection locked="0"/>
    </xf>
    <xf numFmtId="4" fontId="26" fillId="0" borderId="0" xfId="0" applyNumberFormat="1" applyFont="1" applyAlignment="1" applyProtection="1">
      <alignment horizontal="center" vertical="center"/>
      <protection locked="0"/>
    </xf>
    <xf numFmtId="4" fontId="26" fillId="0" borderId="0" xfId="0" applyNumberFormat="1" applyFont="1" applyAlignment="1" applyProtection="1">
      <alignment horizontal="center" vertical="center" wrapText="1"/>
      <protection locked="0"/>
    </xf>
    <xf numFmtId="165" fontId="27" fillId="0" borderId="0" xfId="6" applyFont="1" applyFill="1" applyProtection="1">
      <protection locked="0"/>
    </xf>
    <xf numFmtId="164" fontId="29" fillId="0" borderId="0" xfId="0" applyNumberFormat="1" applyFont="1" applyAlignment="1" applyProtection="1">
      <alignment horizontal="right"/>
      <protection locked="0"/>
    </xf>
    <xf numFmtId="0" fontId="26" fillId="0" borderId="0" xfId="0" applyFont="1" applyAlignment="1" applyProtection="1">
      <alignment horizontal="justify" vertical="top" wrapText="1"/>
      <protection locked="0"/>
    </xf>
    <xf numFmtId="4" fontId="26" fillId="0" borderId="0" xfId="0" applyNumberFormat="1" applyFont="1" applyProtection="1">
      <protection locked="0"/>
    </xf>
    <xf numFmtId="165" fontId="26" fillId="0" borderId="0" xfId="0" applyNumberFormat="1" applyFont="1" applyProtection="1">
      <protection locked="0"/>
    </xf>
    <xf numFmtId="165" fontId="27" fillId="0" borderId="0" xfId="0" applyNumberFormat="1" applyFont="1" applyProtection="1">
      <protection locked="0"/>
    </xf>
    <xf numFmtId="0" fontId="26" fillId="0" borderId="0" xfId="0" applyFont="1"/>
    <xf numFmtId="0" fontId="27" fillId="3" borderId="0" xfId="0" applyFont="1" applyFill="1" applyProtection="1">
      <protection locked="0"/>
    </xf>
    <xf numFmtId="0" fontId="29" fillId="3" borderId="0" xfId="0" applyFont="1" applyFill="1" applyProtection="1">
      <protection locked="0"/>
    </xf>
    <xf numFmtId="4" fontId="30" fillId="3" borderId="0" xfId="0" applyNumberFormat="1" applyFont="1" applyFill="1" applyProtection="1">
      <protection locked="0"/>
    </xf>
    <xf numFmtId="165" fontId="27" fillId="3" borderId="0" xfId="6" applyFont="1" applyFill="1" applyProtection="1">
      <protection locked="0"/>
    </xf>
    <xf numFmtId="164" fontId="29" fillId="3" borderId="0" xfId="0" applyNumberFormat="1" applyFont="1" applyFill="1" applyAlignment="1" applyProtection="1">
      <alignment horizontal="right"/>
      <protection locked="0"/>
    </xf>
    <xf numFmtId="4" fontId="25" fillId="0" borderId="0" xfId="0" applyNumberFormat="1" applyFont="1"/>
    <xf numFmtId="4" fontId="25" fillId="0" borderId="0" xfId="0" applyNumberFormat="1" applyFont="1" applyAlignment="1" applyProtection="1">
      <alignment horizontal="right" vertical="top"/>
      <protection locked="0"/>
    </xf>
    <xf numFmtId="4" fontId="26" fillId="0" borderId="0" xfId="0" applyNumberFormat="1" applyFont="1"/>
    <xf numFmtId="0" fontId="29" fillId="0" borderId="0" xfId="0" applyFont="1" applyProtection="1">
      <protection locked="0"/>
    </xf>
    <xf numFmtId="0" fontId="26" fillId="0" borderId="3" xfId="0" applyFont="1" applyBorder="1" applyAlignment="1" applyProtection="1">
      <alignment horizontal="center"/>
      <protection locked="0"/>
    </xf>
    <xf numFmtId="164" fontId="31" fillId="0" borderId="0" xfId="0" applyNumberFormat="1" applyFont="1" applyAlignment="1">
      <alignment vertical="top"/>
    </xf>
    <xf numFmtId="0" fontId="27" fillId="0" borderId="0" xfId="0" applyFont="1" applyAlignment="1" applyProtection="1">
      <alignment horizontal="right" vertical="top"/>
      <protection locked="0"/>
    </xf>
    <xf numFmtId="0" fontId="27" fillId="0" borderId="0" xfId="0" applyFont="1" applyAlignment="1">
      <alignment horizontal="justify" vertical="top" wrapText="1"/>
    </xf>
    <xf numFmtId="0" fontId="32" fillId="0" borderId="2" xfId="0" applyFont="1" applyBorder="1" applyAlignment="1" applyProtection="1">
      <alignment horizontal="center" vertical="center" wrapText="1"/>
      <protection locked="0"/>
    </xf>
    <xf numFmtId="0" fontId="33" fillId="0" borderId="0" xfId="0" applyFont="1" applyAlignment="1" applyProtection="1">
      <alignment horizontal="left" vertical="top" wrapText="1"/>
      <protection locked="0"/>
    </xf>
    <xf numFmtId="0" fontId="27" fillId="0" borderId="0" xfId="0" applyFont="1" applyAlignment="1">
      <alignment horizontal="right" vertical="top"/>
    </xf>
    <xf numFmtId="0" fontId="28" fillId="0" borderId="0" xfId="0" applyFont="1" applyAlignment="1">
      <alignment horizontal="justify" vertical="top" wrapText="1"/>
    </xf>
    <xf numFmtId="0" fontId="27" fillId="0" borderId="0" xfId="0" applyFont="1" applyAlignment="1">
      <alignment horizontal="center"/>
    </xf>
    <xf numFmtId="4" fontId="29" fillId="0" borderId="0" xfId="0" applyNumberFormat="1" applyFont="1" applyAlignment="1">
      <alignment horizontal="right"/>
    </xf>
    <xf numFmtId="4" fontId="27" fillId="0" borderId="0" xfId="0" applyNumberFormat="1" applyFont="1" applyAlignment="1">
      <alignment vertical="top"/>
    </xf>
    <xf numFmtId="0" fontId="26" fillId="0" borderId="0" xfId="1" applyFont="1" applyAlignment="1">
      <alignment horizontal="justify" vertical="top" wrapText="1"/>
    </xf>
    <xf numFmtId="0" fontId="27" fillId="0" borderId="0" xfId="0" applyFont="1" applyAlignment="1">
      <alignment horizontal="justify" vertical="top" wrapText="1" shrinkToFit="1"/>
    </xf>
    <xf numFmtId="0" fontId="34" fillId="0" borderId="0" xfId="1" applyFont="1" applyAlignment="1">
      <alignment horizontal="justify" vertical="top" wrapText="1"/>
    </xf>
    <xf numFmtId="0" fontId="34" fillId="0" borderId="0" xfId="0" applyFont="1" applyAlignment="1">
      <alignment horizontal="right" vertical="top"/>
    </xf>
    <xf numFmtId="0" fontId="34" fillId="0" borderId="0" xfId="0" applyFont="1" applyAlignment="1">
      <alignment horizontal="center"/>
    </xf>
    <xf numFmtId="4" fontId="35" fillId="0" borderId="0" xfId="0" applyNumberFormat="1" applyFont="1"/>
    <xf numFmtId="164" fontId="35" fillId="0" borderId="0" xfId="0" applyNumberFormat="1" applyFont="1" applyAlignment="1">
      <alignment horizontal="right"/>
    </xf>
    <xf numFmtId="0" fontId="34" fillId="0" borderId="0" xfId="0" applyFont="1" applyProtection="1">
      <protection locked="0"/>
    </xf>
    <xf numFmtId="0" fontId="26" fillId="0" borderId="0" xfId="0" applyFont="1" applyAlignment="1">
      <alignment horizontal="justify" vertical="top" wrapText="1" shrinkToFit="1"/>
    </xf>
    <xf numFmtId="4" fontId="26" fillId="0" borderId="0" xfId="0" applyNumberFormat="1" applyFont="1" applyAlignment="1">
      <alignment vertical="top"/>
    </xf>
    <xf numFmtId="0" fontId="27" fillId="0" borderId="0" xfId="0" applyFont="1" applyAlignment="1" applyProtection="1">
      <alignment vertical="top" wrapText="1"/>
      <protection locked="0"/>
    </xf>
    <xf numFmtId="0" fontId="27" fillId="0" borderId="1" xfId="0" applyFont="1" applyBorder="1" applyAlignment="1" applyProtection="1">
      <alignment horizontal="left" vertical="top"/>
      <protection locked="0"/>
    </xf>
    <xf numFmtId="4" fontId="29" fillId="0" borderId="1" xfId="0" applyNumberFormat="1" applyFont="1" applyBorder="1" applyAlignment="1" applyProtection="1">
      <alignment horizontal="right" vertical="top"/>
      <protection locked="0"/>
    </xf>
    <xf numFmtId="4" fontId="27" fillId="0" borderId="1" xfId="0" applyNumberFormat="1" applyFont="1" applyBorder="1" applyProtection="1">
      <protection locked="0"/>
    </xf>
    <xf numFmtId="4" fontId="27" fillId="0" borderId="1" xfId="0" applyNumberFormat="1" applyFont="1" applyBorder="1"/>
    <xf numFmtId="0" fontId="26" fillId="0" borderId="0" xfId="0" applyFont="1" applyAlignment="1" applyProtection="1">
      <alignment horizontal="left"/>
      <protection locked="0"/>
    </xf>
    <xf numFmtId="0" fontId="36" fillId="0" borderId="0" xfId="0" applyFont="1" applyProtection="1">
      <protection locked="0"/>
    </xf>
    <xf numFmtId="0" fontId="33" fillId="0" borderId="0" xfId="0" applyFont="1" applyAlignment="1" applyProtection="1">
      <alignment horizontal="right" vertical="top"/>
      <protection locked="0"/>
    </xf>
    <xf numFmtId="0" fontId="33" fillId="0" borderId="0" xfId="0" applyFont="1" applyAlignment="1" applyProtection="1">
      <alignment horizontal="justify" vertical="top" wrapText="1"/>
      <protection locked="0"/>
    </xf>
    <xf numFmtId="0" fontId="33" fillId="0" borderId="0" xfId="0" applyFont="1" applyAlignment="1" applyProtection="1">
      <alignment horizontal="center"/>
      <protection locked="0"/>
    </xf>
    <xf numFmtId="4" fontId="37" fillId="0" borderId="0" xfId="0" applyNumberFormat="1" applyFont="1" applyAlignment="1" applyProtection="1">
      <alignment horizontal="right"/>
      <protection locked="0"/>
    </xf>
    <xf numFmtId="4" fontId="33" fillId="0" borderId="0" xfId="0" applyNumberFormat="1" applyFont="1" applyProtection="1">
      <protection locked="0"/>
    </xf>
    <xf numFmtId="164" fontId="37" fillId="0" borderId="0" xfId="0" applyNumberFormat="1" applyFont="1" applyAlignment="1" applyProtection="1">
      <alignment horizontal="right"/>
      <protection locked="0"/>
    </xf>
    <xf numFmtId="0" fontId="33" fillId="0" borderId="0" xfId="0" applyFont="1" applyProtection="1">
      <protection locked="0"/>
    </xf>
    <xf numFmtId="164" fontId="29" fillId="0" borderId="0" xfId="0" applyNumberFormat="1" applyFont="1" applyAlignment="1">
      <alignment horizontal="right"/>
    </xf>
    <xf numFmtId="4" fontId="25" fillId="0" borderId="3" xfId="0" applyNumberFormat="1" applyFont="1" applyBorder="1" applyProtection="1">
      <protection locked="0"/>
    </xf>
    <xf numFmtId="0" fontId="26" fillId="0" borderId="2" xfId="0" applyFont="1" applyBorder="1" applyAlignment="1" applyProtection="1">
      <alignment horizontal="center" wrapText="1"/>
      <protection locked="0"/>
    </xf>
    <xf numFmtId="0" fontId="26" fillId="0" borderId="0" xfId="0" applyFont="1" applyAlignment="1" applyProtection="1">
      <alignment horizontal="center" wrapText="1"/>
      <protection locked="0"/>
    </xf>
    <xf numFmtId="4" fontId="25" fillId="0" borderId="0" xfId="0" applyNumberFormat="1" applyFont="1" applyAlignment="1" applyProtection="1">
      <alignment horizontal="center" vertical="center"/>
      <protection locked="0"/>
    </xf>
    <xf numFmtId="0" fontId="26" fillId="0" borderId="0" xfId="0" applyFont="1" applyAlignment="1">
      <alignment horizontal="center" wrapText="1"/>
    </xf>
    <xf numFmtId="4" fontId="26" fillId="0" borderId="0" xfId="0" applyNumberFormat="1" applyFont="1" applyAlignment="1" applyProtection="1">
      <alignment horizontal="center" wrapText="1"/>
      <protection locked="0"/>
    </xf>
    <xf numFmtId="0" fontId="26" fillId="0" borderId="0" xfId="0" applyFont="1" applyAlignment="1">
      <alignment horizontal="left" vertical="center" wrapText="1"/>
    </xf>
    <xf numFmtId="4" fontId="25" fillId="0" borderId="0" xfId="0" applyNumberFormat="1" applyFont="1" applyAlignment="1">
      <alignment horizontal="center" vertical="center"/>
    </xf>
    <xf numFmtId="4" fontId="26" fillId="0" borderId="0" xfId="0" applyNumberFormat="1" applyFont="1" applyAlignment="1">
      <alignment horizontal="center" vertical="center"/>
    </xf>
    <xf numFmtId="0" fontId="26" fillId="0" borderId="0" xfId="0" applyFont="1" applyAlignment="1">
      <alignment horizontal="justify" vertical="center" wrapText="1"/>
    </xf>
    <xf numFmtId="0" fontId="26" fillId="0" borderId="0" xfId="0" applyFont="1" applyAlignment="1">
      <alignment vertical="top" wrapText="1"/>
    </xf>
    <xf numFmtId="2" fontId="25" fillId="0" borderId="0" xfId="0" applyNumberFormat="1" applyFont="1"/>
    <xf numFmtId="4" fontId="26" fillId="0" borderId="0" xfId="0" applyNumberFormat="1" applyFont="1" applyAlignment="1">
      <alignment horizontal="right"/>
    </xf>
    <xf numFmtId="49" fontId="26" fillId="0" borderId="0" xfId="0" applyNumberFormat="1" applyFont="1" applyAlignment="1">
      <alignment horizontal="right" vertical="top"/>
    </xf>
    <xf numFmtId="9" fontId="26" fillId="0" borderId="0" xfId="0" applyNumberFormat="1" applyFont="1" applyAlignment="1" applyProtection="1">
      <alignment horizontal="center"/>
      <protection locked="0"/>
    </xf>
    <xf numFmtId="0" fontId="27" fillId="0" borderId="1" xfId="0" applyFont="1" applyBorder="1" applyAlignment="1" applyProtection="1">
      <alignment horizontal="right" vertical="top"/>
      <protection locked="0"/>
    </xf>
    <xf numFmtId="0" fontId="27" fillId="0" borderId="1" xfId="0" applyFont="1" applyBorder="1" applyAlignment="1" applyProtection="1">
      <alignment horizontal="left"/>
      <protection locked="0"/>
    </xf>
    <xf numFmtId="0" fontId="27" fillId="0" borderId="3" xfId="0" applyFont="1" applyBorder="1" applyAlignment="1" applyProtection="1">
      <alignment wrapText="1"/>
      <protection locked="0"/>
    </xf>
    <xf numFmtId="0" fontId="27" fillId="0" borderId="0" xfId="0" applyFont="1" applyAlignment="1" applyProtection="1">
      <alignment horizontal="left"/>
      <protection locked="0"/>
    </xf>
    <xf numFmtId="4" fontId="29" fillId="0" borderId="0" xfId="0" applyNumberFormat="1" applyFont="1" applyAlignment="1" applyProtection="1">
      <alignment horizontal="right"/>
      <protection locked="0"/>
    </xf>
    <xf numFmtId="4" fontId="27" fillId="0" borderId="0" xfId="0" applyNumberFormat="1" applyFont="1"/>
    <xf numFmtId="4" fontId="29" fillId="0" borderId="0" xfId="0" applyNumberFormat="1" applyFont="1" applyProtection="1">
      <protection locked="0"/>
    </xf>
    <xf numFmtId="0" fontId="29" fillId="0" borderId="0" xfId="0" applyFont="1" applyAlignment="1" applyProtection="1">
      <alignment vertical="top" wrapText="1"/>
      <protection locked="0"/>
    </xf>
    <xf numFmtId="0" fontId="26" fillId="0" borderId="0" xfId="0" applyFont="1" applyAlignment="1" applyProtection="1">
      <alignment horizontal="left" vertical="top"/>
      <protection locked="0"/>
    </xf>
    <xf numFmtId="0" fontId="25" fillId="0" borderId="0" xfId="0" applyFont="1" applyAlignment="1" applyProtection="1">
      <alignment horizontal="left" vertical="top" wrapText="1"/>
      <protection locked="0"/>
    </xf>
    <xf numFmtId="0" fontId="25" fillId="0" borderId="0" xfId="0" applyFont="1" applyAlignment="1">
      <alignment horizontal="left" vertical="top" wrapText="1"/>
    </xf>
    <xf numFmtId="0" fontId="26" fillId="0" borderId="0" xfId="0" applyFont="1" applyAlignment="1" applyProtection="1">
      <alignment horizontal="right" vertical="top" wrapText="1"/>
      <protection locked="0"/>
    </xf>
    <xf numFmtId="167" fontId="26" fillId="0" borderId="0" xfId="7" applyNumberFormat="1" applyFont="1" applyAlignment="1">
      <alignment vertical="top"/>
    </xf>
    <xf numFmtId="4" fontId="26" fillId="0" borderId="0" xfId="0" applyNumberFormat="1" applyFont="1" applyAlignment="1" applyProtection="1">
      <alignment horizontal="right" wrapText="1"/>
      <protection locked="0"/>
    </xf>
    <xf numFmtId="0" fontId="26" fillId="0" borderId="1" xfId="0" applyFont="1" applyBorder="1" applyAlignment="1">
      <alignment horizontal="center"/>
    </xf>
    <xf numFmtId="4" fontId="25" fillId="0" borderId="1" xfId="0" applyNumberFormat="1" applyFont="1" applyBorder="1" applyAlignment="1">
      <alignment horizontal="right" vertical="top"/>
    </xf>
    <xf numFmtId="4" fontId="26" fillId="0" borderId="1" xfId="0" applyNumberFormat="1" applyFont="1" applyBorder="1" applyProtection="1">
      <protection locked="0"/>
    </xf>
    <xf numFmtId="4" fontId="26" fillId="0" borderId="1" xfId="0" applyNumberFormat="1" applyFont="1" applyBorder="1"/>
    <xf numFmtId="0" fontId="26" fillId="0" borderId="3" xfId="0" applyFont="1" applyBorder="1" applyAlignment="1">
      <alignment horizontal="right" vertical="top"/>
    </xf>
    <xf numFmtId="0" fontId="26" fillId="0" borderId="3" xfId="0" applyFont="1" applyBorder="1" applyAlignment="1">
      <alignment wrapText="1"/>
    </xf>
    <xf numFmtId="0" fontId="26" fillId="0" borderId="0" xfId="0" applyFont="1" applyAlignment="1">
      <alignment horizontal="left"/>
    </xf>
    <xf numFmtId="0" fontId="25" fillId="0" borderId="0" xfId="0" applyFont="1" applyAlignment="1">
      <alignment vertical="top"/>
    </xf>
    <xf numFmtId="4" fontId="26" fillId="0" borderId="0" xfId="0" applyNumberFormat="1" applyFont="1" applyAlignment="1">
      <alignment horizontal="right" vertical="top"/>
    </xf>
    <xf numFmtId="0" fontId="25" fillId="0" borderId="4" xfId="0" applyFont="1" applyBorder="1" applyAlignment="1" applyProtection="1">
      <alignment horizontal="right" vertical="top"/>
      <protection locked="0"/>
    </xf>
    <xf numFmtId="0" fontId="25" fillId="0" borderId="3" xfId="0" applyFont="1" applyBorder="1" applyAlignment="1" applyProtection="1">
      <alignment horizontal="right" vertical="top"/>
      <protection locked="0"/>
    </xf>
    <xf numFmtId="0" fontId="26" fillId="0" borderId="4" xfId="0" applyFont="1" applyBorder="1" applyAlignment="1" applyProtection="1">
      <alignment horizontal="right" vertical="center"/>
      <protection locked="0"/>
    </xf>
    <xf numFmtId="0" fontId="26" fillId="0" borderId="0" xfId="0" applyFont="1" applyAlignment="1">
      <alignment horizontal="left" vertical="top" wrapText="1"/>
    </xf>
    <xf numFmtId="0" fontId="33" fillId="0" borderId="0" xfId="0" applyFont="1" applyAlignment="1">
      <alignment horizontal="left" vertical="top" wrapText="1"/>
    </xf>
    <xf numFmtId="164" fontId="31" fillId="0" borderId="0" xfId="0" applyNumberFormat="1" applyFont="1" applyAlignment="1">
      <alignment horizontal="right"/>
    </xf>
    <xf numFmtId="0" fontId="26" fillId="0" borderId="1" xfId="0" applyFont="1" applyBorder="1" applyAlignment="1" applyProtection="1">
      <alignment horizontal="left" vertical="top"/>
      <protection locked="0"/>
    </xf>
    <xf numFmtId="4" fontId="25" fillId="0" borderId="1" xfId="0" applyNumberFormat="1" applyFont="1" applyBorder="1" applyAlignment="1" applyProtection="1">
      <alignment horizontal="right"/>
      <protection locked="0"/>
    </xf>
    <xf numFmtId="0" fontId="37" fillId="0" borderId="0" xfId="0" applyFont="1" applyProtection="1">
      <protection locked="0"/>
    </xf>
    <xf numFmtId="49" fontId="26" fillId="0" borderId="0" xfId="0" applyNumberFormat="1" applyFont="1" applyAlignment="1" applyProtection="1">
      <alignment vertical="top" wrapText="1"/>
      <protection locked="0"/>
    </xf>
    <xf numFmtId="0" fontId="26" fillId="0" borderId="0" xfId="0" applyFont="1" applyAlignment="1">
      <alignment horizontal="left" vertical="top"/>
    </xf>
    <xf numFmtId="0" fontId="33" fillId="0" borderId="0" xfId="0" applyFont="1" applyAlignment="1">
      <alignment vertical="top" wrapText="1"/>
    </xf>
    <xf numFmtId="0" fontId="26" fillId="0" borderId="0" xfId="3" applyFont="1" applyAlignment="1">
      <alignment horizontal="justify" vertical="top" wrapText="1"/>
    </xf>
    <xf numFmtId="0" fontId="25" fillId="0" borderId="0" xfId="0" applyFont="1" applyAlignment="1">
      <alignment horizontal="justify" vertical="top" wrapText="1"/>
    </xf>
    <xf numFmtId="167" fontId="27" fillId="0" borderId="0" xfId="7" applyNumberFormat="1" applyFont="1" applyAlignment="1">
      <alignment horizontal="right" vertical="top"/>
    </xf>
    <xf numFmtId="0" fontId="27" fillId="0" borderId="0" xfId="0" applyFont="1" applyAlignment="1">
      <alignment horizontal="left" vertical="top" wrapText="1"/>
    </xf>
    <xf numFmtId="0" fontId="27" fillId="0" borderId="0" xfId="0" applyFont="1"/>
    <xf numFmtId="2" fontId="25" fillId="0" borderId="0" xfId="0" applyNumberFormat="1" applyFont="1" applyAlignment="1">
      <alignment horizontal="right" wrapText="1"/>
    </xf>
    <xf numFmtId="0" fontId="26" fillId="0" borderId="4" xfId="0" applyFont="1" applyBorder="1" applyAlignment="1" applyProtection="1">
      <alignment horizontal="center" vertical="center"/>
      <protection locked="0"/>
    </xf>
    <xf numFmtId="0" fontId="27" fillId="0" borderId="0" xfId="0" applyFont="1" applyAlignment="1">
      <alignment vertical="top" wrapText="1"/>
    </xf>
    <xf numFmtId="0" fontId="27" fillId="0" borderId="1" xfId="0" applyFont="1" applyBorder="1" applyAlignment="1">
      <alignment horizontal="center"/>
    </xf>
    <xf numFmtId="4" fontId="29" fillId="0" borderId="1" xfId="0" applyNumberFormat="1" applyFont="1" applyBorder="1" applyAlignment="1">
      <alignment horizontal="right" vertical="top"/>
    </xf>
    <xf numFmtId="0" fontId="27" fillId="0" borderId="3" xfId="0" applyFont="1" applyBorder="1" applyAlignment="1" applyProtection="1">
      <alignment horizontal="right" vertical="top"/>
      <protection locked="0"/>
    </xf>
    <xf numFmtId="4" fontId="27" fillId="0" borderId="0" xfId="0" applyNumberFormat="1" applyFont="1" applyAlignment="1" applyProtection="1">
      <alignment horizontal="right"/>
      <protection locked="0"/>
    </xf>
    <xf numFmtId="4" fontId="27" fillId="0" borderId="0" xfId="0" applyNumberFormat="1" applyFont="1" applyAlignment="1" applyProtection="1">
      <alignment horizontal="right" vertical="top"/>
      <protection locked="0"/>
    </xf>
    <xf numFmtId="4" fontId="27" fillId="0" borderId="0" xfId="0" applyNumberFormat="1" applyFont="1" applyAlignment="1" applyProtection="1">
      <alignment vertical="top"/>
      <protection locked="0"/>
    </xf>
    <xf numFmtId="0" fontId="26" fillId="0" borderId="2" xfId="0" applyFont="1" applyBorder="1" applyAlignment="1" applyProtection="1">
      <alignment horizontal="center"/>
      <protection locked="0"/>
    </xf>
    <xf numFmtId="4" fontId="25" fillId="0" borderId="2" xfId="0" applyNumberFormat="1" applyFont="1" applyBorder="1" applyAlignment="1" applyProtection="1">
      <alignment horizontal="right"/>
      <protection locked="0"/>
    </xf>
    <xf numFmtId="4" fontId="26" fillId="0" borderId="2" xfId="0" applyNumberFormat="1" applyFont="1" applyBorder="1" applyAlignment="1" applyProtection="1">
      <alignment horizontal="right"/>
      <protection locked="0"/>
    </xf>
    <xf numFmtId="4" fontId="25" fillId="0" borderId="3" xfId="0" applyNumberFormat="1" applyFont="1" applyBorder="1" applyAlignment="1" applyProtection="1">
      <alignment horizontal="right"/>
      <protection locked="0"/>
    </xf>
    <xf numFmtId="4" fontId="26" fillId="0" borderId="2" xfId="0" applyNumberFormat="1" applyFont="1" applyBorder="1" applyAlignment="1" applyProtection="1">
      <alignment horizontal="right" vertical="center"/>
      <protection locked="0"/>
    </xf>
    <xf numFmtId="4" fontId="26" fillId="0" borderId="2" xfId="0" applyNumberFormat="1" applyFont="1" applyBorder="1" applyAlignment="1" applyProtection="1">
      <alignment horizontal="right" wrapText="1"/>
      <protection locked="0"/>
    </xf>
    <xf numFmtId="0" fontId="26" fillId="0" borderId="0" xfId="0" applyFont="1" applyAlignment="1" applyProtection="1">
      <alignment horizontal="right" wrapText="1"/>
      <protection locked="0"/>
    </xf>
    <xf numFmtId="0" fontId="26" fillId="0" borderId="1" xfId="0" applyFont="1" applyBorder="1" applyAlignment="1" applyProtection="1">
      <alignment horizontal="right" vertical="top"/>
      <protection locked="0"/>
    </xf>
    <xf numFmtId="49" fontId="26" fillId="0" borderId="0" xfId="0" applyNumberFormat="1" applyFont="1" applyAlignment="1">
      <alignment horizontal="left" vertical="top" wrapText="1"/>
    </xf>
    <xf numFmtId="0" fontId="25" fillId="0" borderId="0" xfId="0" applyFont="1" applyAlignment="1" applyProtection="1">
      <alignment horizontal="justify" vertical="top" wrapText="1"/>
      <protection locked="0"/>
    </xf>
    <xf numFmtId="0" fontId="25" fillId="0" borderId="0" xfId="0" applyFont="1" applyAlignment="1" applyProtection="1">
      <alignment wrapText="1"/>
      <protection locked="0"/>
    </xf>
    <xf numFmtId="0" fontId="26" fillId="0" borderId="0" xfId="3" applyFont="1" applyAlignment="1">
      <alignment horizontal="left" vertical="top" wrapText="1"/>
    </xf>
    <xf numFmtId="49" fontId="26" fillId="0" borderId="0" xfId="3" applyNumberFormat="1" applyFont="1" applyAlignment="1">
      <alignment horizontal="center"/>
    </xf>
    <xf numFmtId="0" fontId="27" fillId="0" borderId="0" xfId="3" applyFont="1" applyAlignment="1">
      <alignment horizontal="justify" vertical="top" wrapText="1"/>
    </xf>
    <xf numFmtId="4" fontId="27" fillId="0" borderId="0" xfId="0" applyNumberFormat="1" applyFont="1" applyAlignment="1">
      <alignment horizontal="center"/>
    </xf>
    <xf numFmtId="4" fontId="25" fillId="0" borderId="1" xfId="0" applyNumberFormat="1" applyFont="1" applyBorder="1" applyAlignment="1" applyProtection="1">
      <alignment horizontal="right" vertical="top"/>
      <protection locked="0"/>
    </xf>
    <xf numFmtId="0" fontId="26" fillId="0" borderId="0" xfId="0" applyFont="1" applyAlignment="1" applyProtection="1">
      <alignment vertical="top"/>
      <protection locked="0"/>
    </xf>
    <xf numFmtId="2" fontId="26" fillId="0" borderId="0" xfId="0" applyNumberFormat="1" applyFont="1" applyProtection="1">
      <protection locked="0"/>
    </xf>
    <xf numFmtId="4" fontId="26" fillId="0" borderId="1" xfId="0" applyNumberFormat="1" applyFont="1" applyBorder="1" applyAlignment="1" applyProtection="1">
      <alignment horizontal="center"/>
      <protection locked="0"/>
    </xf>
    <xf numFmtId="4" fontId="26" fillId="0" borderId="1" xfId="0" applyNumberFormat="1" applyFont="1" applyBorder="1" applyAlignment="1" applyProtection="1">
      <alignment vertical="top"/>
      <protection locked="0"/>
    </xf>
    <xf numFmtId="164" fontId="25" fillId="0" borderId="1" xfId="0" applyNumberFormat="1" applyFont="1" applyBorder="1" applyAlignment="1">
      <alignment horizontal="right"/>
    </xf>
    <xf numFmtId="4" fontId="32" fillId="0" borderId="0" xfId="0" applyNumberFormat="1" applyFont="1"/>
    <xf numFmtId="4" fontId="25" fillId="0" borderId="0" xfId="0" applyNumberFormat="1" applyFont="1" applyAlignment="1">
      <alignment horizontal="right" wrapText="1"/>
    </xf>
    <xf numFmtId="0" fontId="25" fillId="0" borderId="0" xfId="0" applyFont="1" applyAlignment="1">
      <alignment horizontal="right" wrapText="1"/>
    </xf>
    <xf numFmtId="4" fontId="25" fillId="0" borderId="0" xfId="0" applyNumberFormat="1" applyFont="1" applyProtection="1">
      <protection locked="0"/>
    </xf>
    <xf numFmtId="0" fontId="26" fillId="0" borderId="0" xfId="1" applyFont="1" applyAlignment="1" applyProtection="1">
      <alignment horizontal="justify" vertical="top" wrapText="1"/>
      <protection locked="0"/>
    </xf>
    <xf numFmtId="0" fontId="40" fillId="0" borderId="0" xfId="0" applyFont="1" applyAlignment="1">
      <alignment horizontal="right"/>
    </xf>
    <xf numFmtId="0" fontId="40" fillId="0" borderId="0" xfId="0" applyFont="1"/>
    <xf numFmtId="0" fontId="41" fillId="0" borderId="0" xfId="0" applyFont="1"/>
    <xf numFmtId="4" fontId="41" fillId="0" borderId="0" xfId="0" applyNumberFormat="1" applyFont="1"/>
    <xf numFmtId="4" fontId="40" fillId="0" borderId="0" xfId="0" applyNumberFormat="1" applyFont="1"/>
    <xf numFmtId="0" fontId="25" fillId="0" borderId="0" xfId="0" applyFont="1" applyAlignment="1">
      <alignment horizontal="right" vertical="center"/>
    </xf>
    <xf numFmtId="0" fontId="25" fillId="0" borderId="0" xfId="0" applyFont="1"/>
    <xf numFmtId="164" fontId="25" fillId="0" borderId="0" xfId="0" applyNumberFormat="1" applyFont="1"/>
    <xf numFmtId="0" fontId="25" fillId="0" borderId="0" xfId="0" applyFont="1" applyAlignment="1">
      <alignment horizontal="right"/>
    </xf>
    <xf numFmtId="0" fontId="26" fillId="0" borderId="1" xfId="0" applyFont="1" applyBorder="1"/>
    <xf numFmtId="164" fontId="25" fillId="0" borderId="1" xfId="0" applyNumberFormat="1" applyFont="1" applyBorder="1"/>
    <xf numFmtId="0" fontId="41" fillId="0" borderId="0" xfId="0" applyFont="1" applyProtection="1">
      <protection locked="0"/>
    </xf>
    <xf numFmtId="0" fontId="26" fillId="0" borderId="1" xfId="0" applyFont="1" applyBorder="1" applyAlignment="1">
      <alignment horizontal="left" vertical="top"/>
    </xf>
    <xf numFmtId="4" fontId="25" fillId="0" borderId="1" xfId="0" applyNumberFormat="1" applyFont="1" applyBorder="1"/>
    <xf numFmtId="4" fontId="25" fillId="0" borderId="0" xfId="0" applyNumberFormat="1" applyFont="1" applyAlignment="1">
      <alignment horizontal="center"/>
    </xf>
    <xf numFmtId="0" fontId="26" fillId="0" borderId="0" xfId="3" applyFont="1" applyAlignment="1">
      <alignment vertical="top" wrapText="1" shrinkToFit="1"/>
    </xf>
    <xf numFmtId="168" fontId="26" fillId="0" borderId="0" xfId="9" applyFont="1"/>
    <xf numFmtId="168" fontId="26" fillId="0" borderId="0" xfId="9" applyFont="1" applyAlignment="1">
      <alignment vertical="top" wrapText="1"/>
    </xf>
    <xf numFmtId="49" fontId="26" fillId="0" borderId="0" xfId="0" applyNumberFormat="1" applyFont="1" applyAlignment="1">
      <alignment horizontal="justify" vertical="top"/>
    </xf>
    <xf numFmtId="49" fontId="26" fillId="0" borderId="0" xfId="0" applyNumberFormat="1" applyFont="1" applyAlignment="1">
      <alignment vertical="top"/>
    </xf>
    <xf numFmtId="0" fontId="26" fillId="0" borderId="0" xfId="0" applyFont="1" applyAlignment="1">
      <alignment vertical="top"/>
    </xf>
    <xf numFmtId="49" fontId="26" fillId="0" borderId="0" xfId="0" applyNumberFormat="1" applyFont="1" applyAlignment="1">
      <alignment vertical="top" wrapText="1"/>
    </xf>
    <xf numFmtId="0" fontId="26" fillId="0" borderId="0" xfId="0" applyFont="1" applyAlignment="1">
      <alignment wrapText="1"/>
    </xf>
    <xf numFmtId="0" fontId="26" fillId="0" borderId="0" xfId="0" applyFont="1" applyAlignment="1">
      <alignment horizontal="right"/>
    </xf>
    <xf numFmtId="168" fontId="26" fillId="0" borderId="0" xfId="9" applyFont="1" applyAlignment="1">
      <alignment wrapText="1"/>
    </xf>
    <xf numFmtId="0" fontId="26" fillId="0" borderId="0" xfId="0" applyFont="1" applyAlignment="1" applyProtection="1">
      <alignment horizontal="left" vertical="top" wrapText="1"/>
      <protection locked="0"/>
    </xf>
    <xf numFmtId="0" fontId="42" fillId="0" borderId="0" xfId="0" applyFont="1" applyAlignment="1">
      <alignment vertical="top"/>
    </xf>
    <xf numFmtId="0" fontId="42" fillId="0" borderId="0" xfId="0" applyFont="1"/>
    <xf numFmtId="164" fontId="26" fillId="0" borderId="0" xfId="0" applyNumberFormat="1" applyFont="1"/>
    <xf numFmtId="164" fontId="17" fillId="0" borderId="0" xfId="0" applyNumberFormat="1" applyFont="1"/>
    <xf numFmtId="4" fontId="24" fillId="0" borderId="0" xfId="0" applyNumberFormat="1" applyFont="1"/>
    <xf numFmtId="4" fontId="17" fillId="0" borderId="0" xfId="0" applyNumberFormat="1" applyFont="1"/>
    <xf numFmtId="164" fontId="17" fillId="0" borderId="1" xfId="0" applyNumberFormat="1" applyFont="1" applyBorder="1"/>
    <xf numFmtId="164" fontId="16" fillId="0" borderId="0" xfId="0" applyNumberFormat="1" applyFont="1"/>
    <xf numFmtId="0" fontId="25" fillId="0" borderId="0" xfId="0" applyFont="1" applyAlignment="1" applyProtection="1">
      <alignment horizontal="left" vertical="top" wrapText="1"/>
      <protection locked="0"/>
    </xf>
    <xf numFmtId="0" fontId="26" fillId="0" borderId="0" xfId="2" applyFont="1" applyAlignment="1" applyProtection="1">
      <alignment horizontal="justify" vertical="top" wrapText="1"/>
      <protection locked="0"/>
    </xf>
    <xf numFmtId="0" fontId="26" fillId="0" borderId="0" xfId="0" applyFont="1" applyAlignment="1" applyProtection="1">
      <alignment horizontal="justify" vertical="top" wrapText="1"/>
      <protection locked="0"/>
    </xf>
    <xf numFmtId="0" fontId="25" fillId="0" borderId="0" xfId="0" applyFont="1" applyAlignment="1" applyProtection="1">
      <alignment horizontal="justify" vertical="top" wrapText="1"/>
      <protection locked="0"/>
    </xf>
    <xf numFmtId="0" fontId="16" fillId="0" borderId="0" xfId="0" applyFont="1" applyAlignment="1">
      <alignment horizontal="justify" vertical="top" wrapText="1"/>
    </xf>
    <xf numFmtId="0" fontId="20" fillId="0" borderId="0" xfId="0" applyFont="1" applyAlignment="1">
      <alignment horizontal="justify" vertical="top" wrapText="1"/>
    </xf>
  </cellXfs>
  <cellStyles count="10">
    <cellStyle name="Excel Built-in Normal" xfId="5" xr:uid="{00000000-0005-0000-0000-000000000000}"/>
    <cellStyle name="Navadno" xfId="0" builtinId="0"/>
    <cellStyle name="Navadno 2" xfId="3" xr:uid="{00000000-0005-0000-0000-000002000000}"/>
    <cellStyle name="Navadno 2 2" xfId="7" xr:uid="{00000000-0005-0000-0000-000003000000}"/>
    <cellStyle name="Navadno 4" xfId="8" xr:uid="{00000000-0005-0000-0000-000004000000}"/>
    <cellStyle name="Navadno_OBJEKT_GO_PREDRAČUN" xfId="1" xr:uid="{00000000-0005-0000-0000-000005000000}"/>
    <cellStyle name="Navadno_POPIS DEL_OMV-TEPANJE_PGD_9.APRIL.03črno" xfId="9" xr:uid="{00000000-0005-0000-0000-000006000000}"/>
    <cellStyle name="Navadno_Volume 4 - BoQ - Tišina-gradb - cene-15-5" xfId="2" xr:uid="{00000000-0005-0000-0000-000007000000}"/>
    <cellStyle name="Normal 2" xfId="4" xr:uid="{00000000-0005-0000-0000-000008000000}"/>
    <cellStyle name="Vejica" xfId="6" builtinId="3"/>
  </cellStyles>
  <dxfs count="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_PONUDBE/PONUDBE%202018/&#352;D%20LU&#268;E_PONUDBA%20ZA%20&#352;PORTNI%20POD%20in%20VGRADNO%20OPREMO_%20OB&#268;INA%20LU&#268;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eten račun z rabatom"/>
      <sheetName val="SifrantCenik"/>
    </sheetNames>
    <sheetDataSet>
      <sheetData sheetId="0"/>
      <sheetData sheetId="1">
        <row r="1">
          <cell r="A1" t="str">
            <v>AAA</v>
          </cell>
        </row>
        <row r="2">
          <cell r="A2" t="str">
            <v>Izdelava spletne strani - po dogovoru</v>
          </cell>
        </row>
        <row r="3">
          <cell r="A3" t="str">
            <v>Izdelava spletne strani - po dogovoru 50</v>
          </cell>
        </row>
        <row r="4">
          <cell r="A4"/>
        </row>
        <row r="5">
          <cell r="A5"/>
        </row>
        <row r="6">
          <cell r="A6"/>
        </row>
        <row r="7">
          <cell r="A7"/>
        </row>
        <row r="8">
          <cell r="A8"/>
        </row>
        <row r="9">
          <cell r="A9"/>
        </row>
        <row r="10">
          <cell r="A10"/>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7030A0"/>
  </sheetPr>
  <dimension ref="A1:F22"/>
  <sheetViews>
    <sheetView view="pageBreakPreview" zoomScaleSheetLayoutView="100" workbookViewId="0">
      <selection activeCell="B19" sqref="B19"/>
    </sheetView>
  </sheetViews>
  <sheetFormatPr defaultColWidth="9.140625" defaultRowHeight="12.75" customHeight="1"/>
  <cols>
    <col min="1" max="1" width="5.85546875" style="111" customWidth="1"/>
    <col min="2" max="2" width="46.85546875" style="111" customWidth="1"/>
    <col min="3" max="3" width="6.140625" style="111" customWidth="1"/>
    <col min="4" max="4" width="8" style="113" customWidth="1"/>
    <col min="5" max="5" width="9.140625" style="113"/>
    <col min="6" max="6" width="11.5703125" style="113" customWidth="1"/>
    <col min="7" max="16384" width="9.140625" style="111"/>
  </cols>
  <sheetData>
    <row r="1" spans="1:6">
      <c r="B1" s="112"/>
    </row>
    <row r="3" spans="1:6" ht="15.75">
      <c r="B3" s="116" t="s">
        <v>212</v>
      </c>
    </row>
    <row r="4" spans="1:6" ht="15.75">
      <c r="B4" s="116"/>
    </row>
    <row r="5" spans="1:6" ht="15.75">
      <c r="B5" s="116"/>
    </row>
    <row r="7" spans="1:6" s="117" customFormat="1" ht="15.75">
      <c r="A7" s="119" t="s">
        <v>15</v>
      </c>
      <c r="B7" s="116" t="s">
        <v>9</v>
      </c>
      <c r="D7" s="118"/>
      <c r="E7" s="118"/>
      <c r="F7" s="118"/>
    </row>
    <row r="8" spans="1:6" s="117" customFormat="1" ht="12.75" customHeight="1">
      <c r="D8" s="118"/>
      <c r="E8" s="118"/>
      <c r="F8" s="118"/>
    </row>
    <row r="9" spans="1:6" s="117" customFormat="1" ht="15.75">
      <c r="A9" s="119" t="s">
        <v>23</v>
      </c>
      <c r="B9" s="116" t="s">
        <v>24</v>
      </c>
      <c r="D9" s="118"/>
      <c r="E9" s="118"/>
      <c r="F9" s="118"/>
    </row>
    <row r="10" spans="1:6" s="117" customFormat="1" ht="15.75">
      <c r="A10" s="120"/>
      <c r="B10" s="116"/>
      <c r="D10" s="118"/>
      <c r="E10" s="118"/>
      <c r="F10" s="118"/>
    </row>
    <row r="11" spans="1:6" s="117" customFormat="1" ht="15.75">
      <c r="A11" s="119" t="s">
        <v>207</v>
      </c>
      <c r="B11" s="116" t="s">
        <v>208</v>
      </c>
      <c r="D11" s="118"/>
      <c r="E11" s="118"/>
      <c r="F11" s="118"/>
    </row>
    <row r="12" spans="1:6" s="117" customFormat="1" ht="15.75">
      <c r="A12" s="120"/>
      <c r="B12" s="116"/>
      <c r="D12" s="118"/>
      <c r="E12" s="118"/>
      <c r="F12" s="118"/>
    </row>
    <row r="13" spans="1:6" s="117" customFormat="1" ht="15.75">
      <c r="A13" s="120" t="s">
        <v>209</v>
      </c>
      <c r="B13" s="116" t="s">
        <v>223</v>
      </c>
      <c r="D13" s="118"/>
      <c r="E13" s="118"/>
      <c r="F13" s="118"/>
    </row>
    <row r="14" spans="1:6" s="117" customFormat="1" ht="15.75">
      <c r="A14" s="120"/>
      <c r="B14" s="116"/>
      <c r="D14" s="118"/>
      <c r="E14" s="118"/>
      <c r="F14" s="118"/>
    </row>
    <row r="15" spans="1:6" s="117" customFormat="1" ht="15.75">
      <c r="A15" s="120" t="s">
        <v>224</v>
      </c>
      <c r="B15" s="116" t="s">
        <v>210</v>
      </c>
      <c r="D15" s="118"/>
      <c r="E15" s="118"/>
      <c r="F15" s="118"/>
    </row>
    <row r="16" spans="1:6" s="117" customFormat="1" ht="15.75">
      <c r="B16" s="116"/>
      <c r="D16" s="118"/>
      <c r="E16" s="118"/>
      <c r="F16" s="118"/>
    </row>
    <row r="17" spans="1:6" s="117" customFormat="1" ht="15.75">
      <c r="A17" s="120" t="s">
        <v>225</v>
      </c>
      <c r="B17" s="116" t="s">
        <v>211</v>
      </c>
      <c r="D17" s="118"/>
      <c r="E17" s="118"/>
      <c r="F17" s="118"/>
    </row>
    <row r="18" spans="1:6" s="117" customFormat="1" ht="15.75">
      <c r="A18" s="120"/>
      <c r="B18" s="116"/>
      <c r="D18" s="118"/>
      <c r="E18" s="118"/>
      <c r="F18" s="118"/>
    </row>
    <row r="19" spans="1:6" s="117" customFormat="1" ht="15.75">
      <c r="A19" s="120" t="s">
        <v>226</v>
      </c>
      <c r="B19" s="116" t="s">
        <v>227</v>
      </c>
      <c r="D19" s="118"/>
      <c r="E19" s="118"/>
      <c r="F19" s="118"/>
    </row>
    <row r="20" spans="1:6" s="117" customFormat="1" ht="15.75">
      <c r="A20" s="120"/>
      <c r="B20" s="116"/>
      <c r="D20" s="118"/>
      <c r="E20" s="118"/>
      <c r="F20" s="118"/>
    </row>
    <row r="21" spans="1:6" s="117" customFormat="1" ht="15.75">
      <c r="A21" s="121"/>
      <c r="B21" s="122" t="s">
        <v>14</v>
      </c>
      <c r="C21" s="123"/>
      <c r="D21" s="124"/>
      <c r="E21" s="118"/>
      <c r="F21" s="118"/>
    </row>
    <row r="22" spans="1:6">
      <c r="A22" s="115"/>
      <c r="B22" s="114"/>
    </row>
  </sheetData>
  <phoneticPr fontId="3" type="noConversion"/>
  <pageMargins left="0.98425196850393704" right="0.35433070866141736"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colBreaks count="1" manualBreakCount="1">
    <brk id="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1">
    <tabColor rgb="FF7030A0"/>
  </sheetPr>
  <dimension ref="A5:F34"/>
  <sheetViews>
    <sheetView view="pageBreakPreview" zoomScaleNormal="100" zoomScaleSheetLayoutView="100" workbookViewId="0">
      <selection activeCell="B23" sqref="B23"/>
    </sheetView>
  </sheetViews>
  <sheetFormatPr defaultColWidth="9.140625" defaultRowHeight="12.75"/>
  <cols>
    <col min="1" max="1" width="5.85546875" style="270" customWidth="1"/>
    <col min="2" max="2" width="46.85546875" style="270" customWidth="1"/>
    <col min="3" max="3" width="6.140625" style="270" customWidth="1"/>
    <col min="4" max="4" width="8" style="278" customWidth="1"/>
    <col min="5" max="5" width="6" style="278" customWidth="1"/>
    <col min="6" max="6" width="15.28515625" style="276" customWidth="1"/>
    <col min="7" max="16384" width="9.140625" style="270"/>
  </cols>
  <sheetData>
    <row r="5" spans="1:6" s="408" customFormat="1" ht="15.75">
      <c r="A5" s="406" t="s">
        <v>12</v>
      </c>
      <c r="B5" s="407" t="s">
        <v>24</v>
      </c>
      <c r="D5" s="409"/>
      <c r="E5" s="409"/>
      <c r="F5" s="410"/>
    </row>
    <row r="7" spans="1:6">
      <c r="A7" s="411" t="s">
        <v>16</v>
      </c>
      <c r="B7" s="412" t="s">
        <v>25</v>
      </c>
      <c r="F7" s="413">
        <f>'I.Krovsko kleparska dela'!F90</f>
        <v>0</v>
      </c>
    </row>
    <row r="8" spans="1:6">
      <c r="A8" s="411"/>
      <c r="B8" s="412"/>
      <c r="F8" s="413"/>
    </row>
    <row r="9" spans="1:6">
      <c r="A9" s="411" t="s">
        <v>17</v>
      </c>
      <c r="B9" s="412" t="s">
        <v>606</v>
      </c>
      <c r="F9" s="413">
        <f>'II. Zelena streha'!F45</f>
        <v>0</v>
      </c>
    </row>
    <row r="10" spans="1:6">
      <c r="A10" s="411"/>
      <c r="B10" s="412"/>
      <c r="F10" s="413"/>
    </row>
    <row r="11" spans="1:6">
      <c r="A11" s="411" t="s">
        <v>18</v>
      </c>
      <c r="B11" s="412" t="s">
        <v>57</v>
      </c>
      <c r="F11" s="413">
        <f>'III.Ključavničarska dela'!F42</f>
        <v>0</v>
      </c>
    </row>
    <row r="12" spans="1:6">
      <c r="A12" s="411"/>
      <c r="F12" s="413"/>
    </row>
    <row r="13" spans="1:6">
      <c r="A13" s="411" t="s">
        <v>19</v>
      </c>
      <c r="B13" s="412" t="s">
        <v>279</v>
      </c>
      <c r="F13" s="413">
        <f>'IV. Dvigalo'!F12</f>
        <v>0</v>
      </c>
    </row>
    <row r="14" spans="1:6">
      <c r="A14" s="411"/>
      <c r="F14" s="413"/>
    </row>
    <row r="15" spans="1:6">
      <c r="A15" s="411" t="s">
        <v>21</v>
      </c>
      <c r="B15" s="412" t="s">
        <v>488</v>
      </c>
      <c r="F15" s="413">
        <f>'V.ALU stavbno pohištvo'!F67</f>
        <v>0</v>
      </c>
    </row>
    <row r="16" spans="1:6">
      <c r="A16" s="411"/>
      <c r="F16" s="413"/>
    </row>
    <row r="17" spans="1:6">
      <c r="A17" s="411" t="s">
        <v>29</v>
      </c>
      <c r="B17" s="412" t="s">
        <v>28</v>
      </c>
      <c r="F17" s="413">
        <f>'VI. Mizarska dela'!F82</f>
        <v>0</v>
      </c>
    </row>
    <row r="18" spans="1:6">
      <c r="A18" s="411"/>
      <c r="B18" s="412"/>
      <c r="F18" s="413"/>
    </row>
    <row r="19" spans="1:6">
      <c r="A19" s="411" t="s">
        <v>31</v>
      </c>
      <c r="B19" s="412" t="s">
        <v>30</v>
      </c>
      <c r="F19" s="413">
        <f>'VII.Keramičarska dela'!F37</f>
        <v>0</v>
      </c>
    </row>
    <row r="20" spans="1:6">
      <c r="A20" s="411"/>
      <c r="B20" s="412"/>
      <c r="F20" s="413"/>
    </row>
    <row r="21" spans="1:6">
      <c r="A21" s="411" t="s">
        <v>33</v>
      </c>
      <c r="B21" s="412" t="s">
        <v>283</v>
      </c>
      <c r="F21" s="413">
        <f>VIII.Tlaki!F25</f>
        <v>0</v>
      </c>
    </row>
    <row r="22" spans="1:6">
      <c r="A22" s="411"/>
      <c r="B22" s="412"/>
      <c r="F22" s="413"/>
    </row>
    <row r="23" spans="1:6">
      <c r="A23" s="411" t="s">
        <v>35</v>
      </c>
      <c r="B23" s="412" t="s">
        <v>230</v>
      </c>
      <c r="F23" s="413">
        <f>'IX.Suhomontažna dela'!F78</f>
        <v>0</v>
      </c>
    </row>
    <row r="24" spans="1:6">
      <c r="B24" s="412"/>
      <c r="F24" s="413"/>
    </row>
    <row r="25" spans="1:6">
      <c r="A25" s="411" t="s">
        <v>286</v>
      </c>
      <c r="B25" s="412" t="s">
        <v>34</v>
      </c>
      <c r="F25" s="413">
        <f>'X.Slikopleskarska dela'!F26</f>
        <v>0</v>
      </c>
    </row>
    <row r="26" spans="1:6">
      <c r="A26" s="411"/>
      <c r="B26" s="412"/>
      <c r="F26" s="413"/>
    </row>
    <row r="27" spans="1:6">
      <c r="A27" s="414" t="s">
        <v>235</v>
      </c>
      <c r="B27" s="412" t="s">
        <v>199</v>
      </c>
      <c r="F27" s="413">
        <f>XI.Fasada!F55</f>
        <v>0</v>
      </c>
    </row>
    <row r="28" spans="1:6">
      <c r="B28" s="412"/>
      <c r="F28" s="413"/>
    </row>
    <row r="29" spans="1:6">
      <c r="A29" s="414" t="s">
        <v>608</v>
      </c>
      <c r="B29" s="412" t="s">
        <v>680</v>
      </c>
      <c r="F29" s="413">
        <f>'XII. Prometna signalizacija '!F27</f>
        <v>0</v>
      </c>
    </row>
    <row r="30" spans="1:6">
      <c r="B30" s="412"/>
      <c r="F30" s="413"/>
    </row>
    <row r="31" spans="1:6">
      <c r="A31" s="414" t="s">
        <v>608</v>
      </c>
      <c r="B31" s="412" t="s">
        <v>206</v>
      </c>
      <c r="F31" s="413">
        <f>'XII. Razno'!F42</f>
        <v>0</v>
      </c>
    </row>
    <row r="32" spans="1:6">
      <c r="A32" s="415"/>
      <c r="B32" s="415"/>
      <c r="C32" s="415"/>
      <c r="D32" s="348"/>
      <c r="E32" s="348"/>
      <c r="F32" s="416"/>
    </row>
    <row r="33" spans="2:6">
      <c r="F33" s="413"/>
    </row>
    <row r="34" spans="2:6">
      <c r="B34" s="352" t="s">
        <v>14</v>
      </c>
      <c r="F34" s="413">
        <f>SUM(F7:F32)</f>
        <v>0</v>
      </c>
    </row>
  </sheetData>
  <sheetProtection algorithmName="SHA-512" hashValue="7SfpzSL4Q5k5zuRXbU941IWw520Shg5v63j1XzAeh3QfY6PegcCZIXtirNpFyCcLvpDNybjTxLH2FHrSX73zzw==" saltValue="ByGCwVCOadj7wWcMdUGlP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2">
    <tabColor rgb="FFFFFF00"/>
  </sheetPr>
  <dimension ref="A1:J102"/>
  <sheetViews>
    <sheetView view="pageBreakPreview" zoomScaleNormal="100" zoomScaleSheetLayoutView="100" workbookViewId="0">
      <selection activeCell="B23" sqref="B23"/>
    </sheetView>
  </sheetViews>
  <sheetFormatPr defaultColWidth="9.140625" defaultRowHeight="12.75"/>
  <cols>
    <col min="1" max="1" width="5.42578125" style="222" customWidth="1"/>
    <col min="2" max="2" width="46.85546875" style="214" customWidth="1"/>
    <col min="3" max="3" width="5.42578125" style="214" customWidth="1"/>
    <col min="4" max="4" width="9" style="267" customWidth="1"/>
    <col min="5" max="5" width="9.140625" style="267"/>
    <col min="6" max="6" width="11.5703125" style="267" customWidth="1"/>
    <col min="7" max="9" width="9.140625" style="214"/>
    <col min="10" max="10" width="63.28515625" style="214" hidden="1" customWidth="1"/>
    <col min="11" max="16384" width="9.140625" style="214"/>
  </cols>
  <sheetData>
    <row r="1" spans="1:6">
      <c r="A1" s="354" t="s">
        <v>16</v>
      </c>
      <c r="B1" s="208" t="s">
        <v>25</v>
      </c>
      <c r="C1" s="253"/>
      <c r="D1" s="254"/>
      <c r="E1" s="254"/>
      <c r="F1" s="255"/>
    </row>
    <row r="2" spans="1:6" ht="4.5" customHeight="1">
      <c r="A2" s="355"/>
      <c r="B2" s="258"/>
      <c r="C2" s="212"/>
      <c r="D2" s="213"/>
      <c r="E2" s="213"/>
      <c r="F2" s="213"/>
    </row>
    <row r="3" spans="1:6" ht="27.75" customHeight="1">
      <c r="A3" s="356" t="s">
        <v>36</v>
      </c>
      <c r="B3" s="217" t="s">
        <v>0</v>
      </c>
      <c r="C3" s="284" t="s">
        <v>3</v>
      </c>
      <c r="D3" s="219" t="s">
        <v>1</v>
      </c>
      <c r="E3" s="220" t="s">
        <v>2</v>
      </c>
      <c r="F3" s="221" t="s">
        <v>163</v>
      </c>
    </row>
    <row r="4" spans="1:6">
      <c r="B4" s="260"/>
      <c r="C4" s="261"/>
      <c r="D4" s="262"/>
      <c r="E4" s="263"/>
      <c r="F4" s="262"/>
    </row>
    <row r="5" spans="1:6" ht="55.9" customHeight="1">
      <c r="B5" s="440" t="s">
        <v>609</v>
      </c>
      <c r="C5" s="440"/>
      <c r="D5" s="440"/>
      <c r="E5" s="440"/>
      <c r="F5" s="440"/>
    </row>
    <row r="6" spans="1:6">
      <c r="B6" s="266"/>
      <c r="C6" s="224"/>
      <c r="D6" s="236"/>
      <c r="F6" s="231"/>
    </row>
    <row r="7" spans="1:6" ht="192.75" customHeight="1">
      <c r="A7" s="227">
        <f>MAX($A$5:A6)+1</f>
        <v>1</v>
      </c>
      <c r="B7" s="326" t="s">
        <v>630</v>
      </c>
      <c r="C7" s="229" t="s">
        <v>4</v>
      </c>
      <c r="D7" s="230">
        <v>576</v>
      </c>
      <c r="F7" s="231">
        <f>E7*D7</f>
        <v>0</v>
      </c>
    </row>
    <row r="8" spans="1:6">
      <c r="A8" s="232"/>
      <c r="B8" s="341"/>
      <c r="C8" s="341"/>
      <c r="D8" s="341"/>
      <c r="F8" s="341"/>
    </row>
    <row r="9" spans="1:6" ht="38.25">
      <c r="A9" s="227">
        <f>MAX($A$5:A8)+1</f>
        <v>2</v>
      </c>
      <c r="B9" s="357" t="s">
        <v>672</v>
      </c>
      <c r="C9" s="229" t="s">
        <v>4</v>
      </c>
      <c r="D9" s="230">
        <v>25</v>
      </c>
      <c r="F9" s="231">
        <f>E9*D9</f>
        <v>0</v>
      </c>
    </row>
    <row r="10" spans="1:6">
      <c r="A10" s="232"/>
      <c r="B10" s="341"/>
      <c r="C10" s="341"/>
      <c r="D10" s="341"/>
      <c r="F10" s="341"/>
    </row>
    <row r="11" spans="1:6" ht="51">
      <c r="A11" s="227">
        <f>MAX($A$5:A10)+1</f>
        <v>3</v>
      </c>
      <c r="B11" s="357" t="s">
        <v>433</v>
      </c>
      <c r="C11" s="229" t="s">
        <v>4</v>
      </c>
      <c r="D11" s="230">
        <v>605</v>
      </c>
      <c r="F11" s="231">
        <f>E11*D11</f>
        <v>0</v>
      </c>
    </row>
    <row r="12" spans="1:6">
      <c r="A12" s="227"/>
      <c r="B12" s="357"/>
      <c r="C12" s="229"/>
      <c r="D12" s="230"/>
      <c r="F12" s="231"/>
    </row>
    <row r="13" spans="1:6" ht="51">
      <c r="A13" s="227">
        <f>MAX($A$5:A12)+1</f>
        <v>4</v>
      </c>
      <c r="B13" s="357" t="s">
        <v>772</v>
      </c>
      <c r="C13" s="229" t="s">
        <v>4</v>
      </c>
      <c r="D13" s="230">
        <v>605</v>
      </c>
      <c r="F13" s="231">
        <f>E13*D13</f>
        <v>0</v>
      </c>
    </row>
    <row r="14" spans="1:6">
      <c r="A14" s="227"/>
      <c r="B14" s="357"/>
      <c r="C14" s="229"/>
      <c r="D14" s="230"/>
      <c r="F14" s="231"/>
    </row>
    <row r="15" spans="1:6" ht="51">
      <c r="A15" s="227">
        <f>MAX($A$5:A14)+1</f>
        <v>5</v>
      </c>
      <c r="B15" s="357" t="s">
        <v>778</v>
      </c>
      <c r="C15" s="229" t="s">
        <v>204</v>
      </c>
      <c r="D15" s="230">
        <f>34*10+5.4*2+0.2</f>
        <v>351</v>
      </c>
      <c r="F15" s="231">
        <f>E15*D15</f>
        <v>0</v>
      </c>
    </row>
    <row r="16" spans="1:6">
      <c r="A16" s="227"/>
      <c r="B16" s="357"/>
      <c r="C16" s="229"/>
      <c r="D16" s="230"/>
      <c r="F16" s="231"/>
    </row>
    <row r="17" spans="1:7" ht="38.25">
      <c r="A17" s="227">
        <f>MAX($A$5:A16)+1</f>
        <v>6</v>
      </c>
      <c r="B17" s="357" t="s">
        <v>773</v>
      </c>
      <c r="C17" s="229" t="s">
        <v>4</v>
      </c>
      <c r="D17" s="230">
        <v>605</v>
      </c>
      <c r="F17" s="231">
        <f>E17*D17</f>
        <v>0</v>
      </c>
    </row>
    <row r="18" spans="1:7">
      <c r="A18" s="232"/>
      <c r="B18" s="341"/>
      <c r="C18" s="341"/>
      <c r="D18" s="341"/>
      <c r="F18" s="341"/>
    </row>
    <row r="19" spans="1:7" ht="102">
      <c r="A19" s="227">
        <f>MAX($A$5:A18)+1</f>
        <v>7</v>
      </c>
      <c r="B19" s="357" t="s">
        <v>796</v>
      </c>
      <c r="C19" s="229" t="s">
        <v>4</v>
      </c>
      <c r="D19" s="371">
        <f>58.23*25.7+3.49</f>
        <v>1500.001</v>
      </c>
      <c r="F19" s="231">
        <f>E19*D19</f>
        <v>0</v>
      </c>
    </row>
    <row r="20" spans="1:7">
      <c r="A20" s="232"/>
      <c r="B20" s="341"/>
      <c r="C20" s="341"/>
      <c r="F20" s="341"/>
    </row>
    <row r="21" spans="1:7" ht="25.5">
      <c r="A21" s="227">
        <f>MAX($A$5:A20)+1</f>
        <v>8</v>
      </c>
      <c r="B21" s="357" t="s">
        <v>290</v>
      </c>
      <c r="C21" s="229" t="s">
        <v>175</v>
      </c>
      <c r="D21" s="230">
        <v>5</v>
      </c>
      <c r="F21" s="231">
        <f>E21*D21</f>
        <v>0</v>
      </c>
    </row>
    <row r="22" spans="1:7">
      <c r="A22" s="232"/>
      <c r="B22" s="357"/>
      <c r="C22" s="229"/>
      <c r="D22" s="230"/>
      <c r="F22" s="231"/>
    </row>
    <row r="23" spans="1:7" ht="25.5">
      <c r="A23" s="227">
        <f>MAX($A$5:A22)+1</f>
        <v>9</v>
      </c>
      <c r="B23" s="357" t="s">
        <v>434</v>
      </c>
      <c r="C23" s="229" t="s">
        <v>204</v>
      </c>
      <c r="D23" s="230">
        <f>58.75*2+58*2+0.5</f>
        <v>234</v>
      </c>
      <c r="F23" s="231">
        <f>E23*D23</f>
        <v>0</v>
      </c>
    </row>
    <row r="24" spans="1:7">
      <c r="A24" s="232"/>
      <c r="B24" s="341"/>
      <c r="C24" s="341"/>
      <c r="D24" s="341"/>
      <c r="F24" s="341"/>
    </row>
    <row r="25" spans="1:7" ht="25.5">
      <c r="A25" s="227">
        <f>MAX($A$5:A24)+1</f>
        <v>10</v>
      </c>
      <c r="B25" s="357" t="s">
        <v>435</v>
      </c>
      <c r="C25" s="229" t="s">
        <v>204</v>
      </c>
      <c r="D25" s="230">
        <v>58.5</v>
      </c>
      <c r="F25" s="231">
        <f>E25*D25</f>
        <v>0</v>
      </c>
    </row>
    <row r="26" spans="1:7">
      <c r="A26" s="232"/>
      <c r="B26" s="341"/>
      <c r="C26" s="341"/>
      <c r="D26" s="341"/>
      <c r="F26" s="341"/>
    </row>
    <row r="27" spans="1:7" ht="51">
      <c r="A27" s="227">
        <f>MAX($A$5:A26)+1</f>
        <v>11</v>
      </c>
      <c r="B27" s="357" t="s">
        <v>436</v>
      </c>
      <c r="C27" s="229" t="s">
        <v>204</v>
      </c>
      <c r="D27" s="230">
        <f>59+57.5</f>
        <v>116.5</v>
      </c>
      <c r="F27" s="231">
        <f>E27*D27</f>
        <v>0</v>
      </c>
    </row>
    <row r="28" spans="1:7">
      <c r="A28" s="232"/>
      <c r="B28" s="358"/>
      <c r="C28" s="229"/>
      <c r="D28" s="230"/>
      <c r="F28" s="231"/>
    </row>
    <row r="29" spans="1:7" ht="38.25">
      <c r="A29" s="227">
        <f>MAX($A$5:A28)+1</f>
        <v>12</v>
      </c>
      <c r="B29" s="228" t="s">
        <v>437</v>
      </c>
      <c r="C29" s="229" t="s">
        <v>204</v>
      </c>
      <c r="D29" s="230">
        <f>11.8*11+0.2</f>
        <v>130</v>
      </c>
      <c r="F29" s="231">
        <f>E29*D29</f>
        <v>0</v>
      </c>
      <c r="G29" s="211"/>
    </row>
    <row r="30" spans="1:7">
      <c r="A30" s="232"/>
      <c r="B30" s="357"/>
      <c r="C30" s="229"/>
      <c r="D30" s="230"/>
      <c r="F30" s="231"/>
    </row>
    <row r="31" spans="1:7" ht="50.25" customHeight="1">
      <c r="A31" s="227">
        <f>MAX($A$5:A30)+1</f>
        <v>13</v>
      </c>
      <c r="B31" s="228" t="s">
        <v>631</v>
      </c>
      <c r="C31" s="229" t="s">
        <v>204</v>
      </c>
      <c r="D31" s="230">
        <f>16.6*2+9*2+0.8</f>
        <v>52</v>
      </c>
      <c r="F31" s="231">
        <f>E31*D31</f>
        <v>0</v>
      </c>
    </row>
    <row r="32" spans="1:7">
      <c r="A32" s="232"/>
      <c r="B32" s="228"/>
      <c r="C32" s="229"/>
      <c r="D32" s="230"/>
      <c r="F32" s="231"/>
    </row>
    <row r="33" spans="1:6" ht="50.25" customHeight="1">
      <c r="A33" s="227">
        <f>MAX($A$5:A32)+1</f>
        <v>14</v>
      </c>
      <c r="B33" s="228" t="s">
        <v>438</v>
      </c>
      <c r="C33" s="229" t="s">
        <v>204</v>
      </c>
      <c r="D33" s="230">
        <v>116.5</v>
      </c>
      <c r="F33" s="231">
        <f>E33*D33</f>
        <v>0</v>
      </c>
    </row>
    <row r="34" spans="1:6">
      <c r="A34" s="232"/>
      <c r="B34" s="228"/>
      <c r="C34" s="229"/>
      <c r="D34" s="230"/>
      <c r="F34" s="231"/>
    </row>
    <row r="35" spans="1:6" ht="63.75">
      <c r="A35" s="227">
        <f>MAX($A$5:A34)+1</f>
        <v>15</v>
      </c>
      <c r="B35" s="357" t="s">
        <v>632</v>
      </c>
      <c r="C35" s="229" t="s">
        <v>4</v>
      </c>
      <c r="D35" s="230">
        <v>5</v>
      </c>
      <c r="F35" s="231">
        <f>E35*D35</f>
        <v>0</v>
      </c>
    </row>
    <row r="36" spans="1:6">
      <c r="A36" s="227"/>
      <c r="B36" s="357"/>
      <c r="C36" s="229"/>
      <c r="D36" s="230"/>
      <c r="F36" s="231"/>
    </row>
    <row r="37" spans="1:6" ht="63.75">
      <c r="A37" s="227">
        <f>MAX($A$5:A36)+1</f>
        <v>16</v>
      </c>
      <c r="B37" s="357" t="s">
        <v>633</v>
      </c>
      <c r="C37" s="229" t="s">
        <v>4</v>
      </c>
      <c r="D37" s="230">
        <f>1.2*4*2*0.5+0.2</f>
        <v>5</v>
      </c>
      <c r="F37" s="231">
        <f>E37*D37</f>
        <v>0</v>
      </c>
    </row>
    <row r="38" spans="1:6">
      <c r="A38" s="232"/>
      <c r="B38" s="357"/>
      <c r="C38" s="229"/>
      <c r="D38" s="230"/>
      <c r="F38" s="231"/>
    </row>
    <row r="39" spans="1:6" ht="50.25" customHeight="1">
      <c r="A39" s="227">
        <f>MAX($A$5:A38)+1</f>
        <v>17</v>
      </c>
      <c r="B39" s="228" t="s">
        <v>458</v>
      </c>
      <c r="C39" s="229" t="s">
        <v>204</v>
      </c>
      <c r="D39" s="230">
        <v>22</v>
      </c>
      <c r="F39" s="231">
        <f>E39*D39</f>
        <v>0</v>
      </c>
    </row>
    <row r="40" spans="1:6">
      <c r="A40" s="232"/>
      <c r="B40" s="228"/>
      <c r="C40" s="229"/>
      <c r="D40" s="230"/>
      <c r="F40" s="231"/>
    </row>
    <row r="41" spans="1:6" ht="89.25">
      <c r="A41" s="227">
        <f>MAX($A$5:A40)+1</f>
        <v>18</v>
      </c>
      <c r="B41" s="228" t="s">
        <v>610</v>
      </c>
      <c r="C41" s="229" t="s">
        <v>175</v>
      </c>
      <c r="D41" s="230">
        <v>5</v>
      </c>
      <c r="F41" s="359">
        <f>E41*D41</f>
        <v>0</v>
      </c>
    </row>
    <row r="42" spans="1:6" ht="13.5">
      <c r="A42" s="232"/>
      <c r="B42" s="283"/>
      <c r="C42" s="288"/>
      <c r="D42" s="289"/>
      <c r="F42" s="359"/>
    </row>
    <row r="43" spans="1:6" ht="92.25" customHeight="1">
      <c r="A43" s="227">
        <f>MAX($A$5:A42)+1</f>
        <v>19</v>
      </c>
      <c r="B43" s="228" t="s">
        <v>611</v>
      </c>
      <c r="C43" s="229" t="s">
        <v>175</v>
      </c>
      <c r="D43" s="230">
        <v>1</v>
      </c>
      <c r="F43" s="359">
        <f>E43*D43</f>
        <v>0</v>
      </c>
    </row>
    <row r="44" spans="1:6" ht="13.5">
      <c r="A44" s="232"/>
      <c r="B44" s="283"/>
      <c r="C44" s="288"/>
      <c r="D44" s="289"/>
      <c r="F44" s="359"/>
    </row>
    <row r="45" spans="1:6" ht="140.25">
      <c r="A45" s="227">
        <f>MAX($A$5:A44)+1</f>
        <v>20</v>
      </c>
      <c r="B45" s="228" t="s">
        <v>753</v>
      </c>
      <c r="C45" s="229" t="s">
        <v>175</v>
      </c>
      <c r="D45" s="230">
        <v>2</v>
      </c>
      <c r="F45" s="359">
        <f>E45*D45</f>
        <v>0</v>
      </c>
    </row>
    <row r="46" spans="1:6" ht="13.5">
      <c r="A46" s="232"/>
      <c r="B46" s="283"/>
      <c r="C46" s="288"/>
      <c r="D46" s="289"/>
      <c r="F46" s="359"/>
    </row>
    <row r="47" spans="1:6" s="270" customFormat="1" ht="89.25">
      <c r="A47" s="227">
        <f>MAX($A$5:A46)+1</f>
        <v>21</v>
      </c>
      <c r="B47" s="357" t="s">
        <v>644</v>
      </c>
      <c r="E47" s="267"/>
    </row>
    <row r="48" spans="1:6" s="270" customFormat="1" ht="38.25">
      <c r="A48" s="232"/>
      <c r="B48" s="228" t="s">
        <v>647</v>
      </c>
      <c r="C48" s="229" t="s">
        <v>4</v>
      </c>
      <c r="D48" s="230">
        <f>(3.2*2+0.5*2)*1+0.6</f>
        <v>8</v>
      </c>
      <c r="E48" s="267"/>
      <c r="F48" s="231">
        <f>E48*D48</f>
        <v>0</v>
      </c>
    </row>
    <row r="49" spans="1:10" s="270" customFormat="1">
      <c r="A49" s="232"/>
      <c r="B49" s="228"/>
      <c r="C49" s="229"/>
      <c r="D49" s="230"/>
      <c r="E49" s="267"/>
      <c r="F49" s="231"/>
    </row>
    <row r="50" spans="1:10" s="270" customFormat="1" ht="89.25">
      <c r="A50" s="227">
        <f>MAX($A$5:A49)+1</f>
        <v>22</v>
      </c>
      <c r="B50" s="357" t="s">
        <v>646</v>
      </c>
      <c r="E50" s="267"/>
    </row>
    <row r="51" spans="1:10" s="270" customFormat="1" ht="38.25">
      <c r="A51" s="232"/>
      <c r="B51" s="228" t="s">
        <v>647</v>
      </c>
      <c r="C51" s="229" t="s">
        <v>4</v>
      </c>
      <c r="D51" s="230">
        <f>1.2*1.9*2*2*2+1.26+0.5</f>
        <v>20</v>
      </c>
      <c r="E51" s="267"/>
      <c r="F51" s="231">
        <f>E51*D51</f>
        <v>0</v>
      </c>
    </row>
    <row r="52" spans="1:10" s="270" customFormat="1">
      <c r="A52" s="232"/>
      <c r="C52" s="229"/>
      <c r="D52" s="230"/>
      <c r="E52" s="267"/>
      <c r="F52" s="231"/>
    </row>
    <row r="53" spans="1:10" ht="66.75" customHeight="1">
      <c r="A53" s="227">
        <f>MAX($A$5:A52)+1</f>
        <v>23</v>
      </c>
      <c r="B53" s="357" t="s">
        <v>645</v>
      </c>
      <c r="C53" s="229" t="s">
        <v>4</v>
      </c>
      <c r="D53" s="230">
        <f>3.5*0.5+0.25+1.2*1.2*2+1.12</f>
        <v>6</v>
      </c>
      <c r="F53" s="231">
        <f>E53*D53</f>
        <v>0</v>
      </c>
    </row>
    <row r="54" spans="1:10">
      <c r="A54" s="227"/>
      <c r="B54" s="357"/>
      <c r="C54" s="229"/>
      <c r="D54" s="230"/>
      <c r="F54" s="231"/>
    </row>
    <row r="55" spans="1:10" s="370" customFormat="1">
      <c r="A55" s="368"/>
      <c r="B55" s="369"/>
      <c r="C55" s="288"/>
      <c r="D55" s="289"/>
      <c r="E55" s="267"/>
      <c r="F55" s="315"/>
    </row>
    <row r="56" spans="1:10" ht="13.5">
      <c r="A56" s="232"/>
      <c r="B56" s="367" t="s">
        <v>442</v>
      </c>
      <c r="C56" s="288"/>
      <c r="D56" s="289"/>
      <c r="F56" s="359"/>
    </row>
    <row r="57" spans="1:10" s="270" customFormat="1" ht="38.25">
      <c r="A57" s="227">
        <f>MAX($A$5:A56)+1</f>
        <v>24</v>
      </c>
      <c r="B57" s="228" t="s">
        <v>443</v>
      </c>
      <c r="C57" s="364"/>
      <c r="D57" s="230"/>
      <c r="E57" s="267"/>
      <c r="F57" s="300"/>
    </row>
    <row r="58" spans="1:10" s="270" customFormat="1" ht="42.75" customHeight="1">
      <c r="A58" s="232"/>
      <c r="B58" s="228" t="s">
        <v>439</v>
      </c>
      <c r="C58" s="364"/>
      <c r="D58" s="230"/>
      <c r="E58" s="267"/>
      <c r="F58" s="300"/>
    </row>
    <row r="59" spans="1:10" s="270" customFormat="1" ht="63.75">
      <c r="A59" s="232"/>
      <c r="B59" s="228" t="s">
        <v>797</v>
      </c>
      <c r="C59" s="364"/>
      <c r="D59" s="230"/>
      <c r="E59" s="267"/>
      <c r="F59" s="300"/>
      <c r="J59" s="365" t="s">
        <v>440</v>
      </c>
    </row>
    <row r="60" spans="1:10" s="270" customFormat="1">
      <c r="A60" s="232"/>
      <c r="B60" s="228" t="s">
        <v>444</v>
      </c>
      <c r="C60" s="364"/>
      <c r="D60" s="230"/>
      <c r="E60" s="267"/>
      <c r="F60" s="300"/>
    </row>
    <row r="61" spans="1:10" s="270" customFormat="1" ht="51">
      <c r="A61" s="232"/>
      <c r="B61" s="228" t="s">
        <v>441</v>
      </c>
      <c r="C61" s="364"/>
      <c r="D61" s="230"/>
      <c r="E61" s="267"/>
      <c r="F61" s="300"/>
    </row>
    <row r="62" spans="1:10" s="270" customFormat="1" ht="160.5" customHeight="1">
      <c r="A62" s="232"/>
      <c r="B62" s="366" t="s">
        <v>445</v>
      </c>
      <c r="C62" s="229" t="s">
        <v>4</v>
      </c>
      <c r="D62" s="230">
        <v>53</v>
      </c>
      <c r="E62" s="267"/>
      <c r="F62" s="231">
        <f>E62*D62</f>
        <v>0</v>
      </c>
    </row>
    <row r="63" spans="1:10">
      <c r="A63" s="232"/>
      <c r="B63" s="341"/>
      <c r="C63" s="341"/>
      <c r="D63" s="341"/>
      <c r="F63" s="341"/>
    </row>
    <row r="64" spans="1:10" ht="127.5">
      <c r="A64" s="227">
        <f>MAX($A$5:A63)+1</f>
        <v>25</v>
      </c>
      <c r="B64" s="357" t="s">
        <v>446</v>
      </c>
      <c r="C64" s="229" t="s">
        <v>204</v>
      </c>
      <c r="D64" s="230">
        <v>22</v>
      </c>
      <c r="F64" s="231">
        <f>E64*D64</f>
        <v>0</v>
      </c>
    </row>
    <row r="65" spans="1:6" ht="13.5">
      <c r="A65" s="232"/>
      <c r="B65" s="283"/>
      <c r="C65" s="288"/>
      <c r="D65" s="289"/>
      <c r="F65" s="359"/>
    </row>
    <row r="66" spans="1:6" ht="50.25" customHeight="1">
      <c r="A66" s="227">
        <f>MAX($A$5:A65)+1</f>
        <v>26</v>
      </c>
      <c r="B66" s="228" t="s">
        <v>452</v>
      </c>
      <c r="C66" s="229" t="s">
        <v>204</v>
      </c>
      <c r="D66" s="230">
        <v>12</v>
      </c>
      <c r="F66" s="231">
        <f>E66*D66</f>
        <v>0</v>
      </c>
    </row>
    <row r="67" spans="1:6" ht="13.5">
      <c r="A67" s="232"/>
      <c r="B67" s="283"/>
      <c r="C67" s="288"/>
      <c r="D67" s="289"/>
      <c r="F67" s="359"/>
    </row>
    <row r="68" spans="1:6" ht="51">
      <c r="A68" s="227">
        <f>MAX($A$5:A67)+1</f>
        <v>27</v>
      </c>
      <c r="B68" s="357" t="s">
        <v>447</v>
      </c>
      <c r="C68" s="229" t="s">
        <v>175</v>
      </c>
      <c r="D68" s="230">
        <v>1</v>
      </c>
      <c r="F68" s="231">
        <f>E68*D68</f>
        <v>0</v>
      </c>
    </row>
    <row r="69" spans="1:6">
      <c r="A69" s="227"/>
      <c r="B69" s="357"/>
      <c r="C69" s="229"/>
      <c r="D69" s="230"/>
      <c r="F69" s="231"/>
    </row>
    <row r="70" spans="1:6" ht="62.25" customHeight="1">
      <c r="A70" s="227">
        <f>MAX($A$5:A69)+1</f>
        <v>28</v>
      </c>
      <c r="B70" s="357" t="s">
        <v>459</v>
      </c>
      <c r="C70" s="320" t="s">
        <v>175</v>
      </c>
      <c r="D70" s="371">
        <v>1</v>
      </c>
      <c r="F70" s="231">
        <f>E70*D70</f>
        <v>0</v>
      </c>
    </row>
    <row r="71" spans="1:6" ht="13.5">
      <c r="A71" s="232"/>
      <c r="B71" s="283"/>
      <c r="C71" s="288"/>
      <c r="D71" s="289"/>
      <c r="F71" s="359"/>
    </row>
    <row r="72" spans="1:6" s="270" customFormat="1" ht="25.5">
      <c r="A72" s="227">
        <f>MAX($A$5:A71)+1</f>
        <v>29</v>
      </c>
      <c r="B72" s="291" t="s">
        <v>448</v>
      </c>
      <c r="C72" s="229" t="s">
        <v>4</v>
      </c>
      <c r="D72" s="230">
        <v>55</v>
      </c>
      <c r="E72" s="267"/>
      <c r="F72" s="231">
        <f>E72*D72</f>
        <v>0</v>
      </c>
    </row>
    <row r="73" spans="1:6" s="270" customFormat="1">
      <c r="A73" s="232"/>
      <c r="B73" s="291"/>
      <c r="C73" s="229"/>
      <c r="D73" s="230"/>
      <c r="E73" s="267"/>
      <c r="F73" s="231"/>
    </row>
    <row r="74" spans="1:6" s="270" customFormat="1" ht="25.5">
      <c r="A74" s="227">
        <f>MAX($A$5:A73)+1</f>
        <v>30</v>
      </c>
      <c r="B74" s="291" t="s">
        <v>451</v>
      </c>
      <c r="C74" s="229" t="s">
        <v>4</v>
      </c>
      <c r="D74" s="230">
        <v>53</v>
      </c>
      <c r="E74" s="267"/>
      <c r="F74" s="231">
        <f>E74*D74</f>
        <v>0</v>
      </c>
    </row>
    <row r="75" spans="1:6" s="270" customFormat="1">
      <c r="A75" s="232"/>
      <c r="B75" s="291"/>
      <c r="C75" s="229"/>
      <c r="D75" s="230"/>
      <c r="E75" s="267"/>
      <c r="F75" s="231"/>
    </row>
    <row r="76" spans="1:6" s="270" customFormat="1" ht="127.5" customHeight="1">
      <c r="A76" s="227">
        <f>MAX($A$5:A75)+1</f>
        <v>31</v>
      </c>
      <c r="B76" s="357" t="s">
        <v>449</v>
      </c>
      <c r="C76" s="229" t="s">
        <v>450</v>
      </c>
      <c r="D76" s="230">
        <v>1</v>
      </c>
      <c r="E76" s="267"/>
      <c r="F76" s="231">
        <f>E76*D76</f>
        <v>0</v>
      </c>
    </row>
    <row r="77" spans="1:6" s="270" customFormat="1">
      <c r="A77" s="227"/>
      <c r="B77" s="357"/>
      <c r="C77" s="229"/>
      <c r="D77" s="230"/>
      <c r="E77" s="267"/>
      <c r="F77" s="231"/>
    </row>
    <row r="78" spans="1:6" s="270" customFormat="1">
      <c r="A78" s="227"/>
      <c r="B78" s="367" t="s">
        <v>453</v>
      </c>
      <c r="C78" s="229"/>
      <c r="D78" s="230"/>
      <c r="E78" s="267"/>
      <c r="F78" s="231"/>
    </row>
    <row r="79" spans="1:6" s="270" customFormat="1" ht="38.25">
      <c r="A79" s="227">
        <f>MAX($A$5:A78)+1</f>
        <v>32</v>
      </c>
      <c r="B79" s="228" t="s">
        <v>454</v>
      </c>
      <c r="C79" s="364"/>
      <c r="D79" s="230"/>
      <c r="E79" s="267"/>
      <c r="F79" s="300"/>
    </row>
    <row r="80" spans="1:6" s="270" customFormat="1" ht="42.75" customHeight="1">
      <c r="A80" s="232"/>
      <c r="B80" s="228" t="s">
        <v>439</v>
      </c>
      <c r="C80" s="364"/>
      <c r="D80" s="230"/>
      <c r="E80" s="267"/>
      <c r="F80" s="300"/>
    </row>
    <row r="81" spans="1:10" s="270" customFormat="1" ht="63.75">
      <c r="A81" s="232"/>
      <c r="B81" s="228" t="s">
        <v>798</v>
      </c>
      <c r="C81" s="364"/>
      <c r="D81" s="230"/>
      <c r="E81" s="267"/>
      <c r="F81" s="300"/>
      <c r="J81" s="365" t="s">
        <v>440</v>
      </c>
    </row>
    <row r="82" spans="1:10" s="270" customFormat="1" ht="51">
      <c r="A82" s="232"/>
      <c r="B82" s="228" t="s">
        <v>441</v>
      </c>
      <c r="C82" s="364"/>
      <c r="D82" s="230"/>
      <c r="E82" s="267"/>
      <c r="F82" s="300"/>
    </row>
    <row r="83" spans="1:10" s="270" customFormat="1" ht="92.25" customHeight="1">
      <c r="A83" s="232"/>
      <c r="B83" s="366" t="s">
        <v>455</v>
      </c>
      <c r="C83" s="229" t="s">
        <v>4</v>
      </c>
      <c r="D83" s="230">
        <f>2.55*2.65+2.55*1*2+2.65*1*2+2.84</f>
        <v>19.997499999999999</v>
      </c>
      <c r="E83" s="267"/>
      <c r="F83" s="231">
        <f>E83*D83</f>
        <v>0</v>
      </c>
    </row>
    <row r="84" spans="1:10">
      <c r="A84" s="232"/>
      <c r="B84" s="341"/>
      <c r="C84" s="341"/>
      <c r="D84" s="341"/>
      <c r="F84" s="341"/>
    </row>
    <row r="85" spans="1:10" ht="50.25" customHeight="1">
      <c r="A85" s="227">
        <f>MAX($A$5:A84)+1</f>
        <v>33</v>
      </c>
      <c r="B85" s="228" t="s">
        <v>456</v>
      </c>
      <c r="C85" s="229" t="s">
        <v>204</v>
      </c>
      <c r="D85" s="230">
        <v>3</v>
      </c>
      <c r="F85" s="231">
        <f>E85*D85</f>
        <v>0</v>
      </c>
    </row>
    <row r="86" spans="1:10" s="270" customFormat="1">
      <c r="A86" s="227"/>
      <c r="B86" s="367"/>
      <c r="C86" s="229"/>
      <c r="D86" s="230"/>
      <c r="E86" s="267"/>
      <c r="F86" s="231"/>
    </row>
    <row r="87" spans="1:10" ht="50.25" customHeight="1">
      <c r="A87" s="227">
        <f>MAX($A$5:A86)+1</f>
        <v>34</v>
      </c>
      <c r="B87" s="228" t="s">
        <v>457</v>
      </c>
      <c r="C87" s="229" t="s">
        <v>204</v>
      </c>
      <c r="D87" s="230">
        <f>2.55+2.65*2+0.15</f>
        <v>8</v>
      </c>
      <c r="F87" s="231">
        <f>E87*D87</f>
        <v>0</v>
      </c>
    </row>
    <row r="88" spans="1:10">
      <c r="B88" s="223"/>
      <c r="C88" s="360"/>
      <c r="D88" s="361"/>
      <c r="E88" s="347"/>
      <c r="F88" s="348"/>
    </row>
    <row r="89" spans="1:10">
      <c r="A89" s="238"/>
      <c r="B89" s="239"/>
      <c r="C89" s="306"/>
      <c r="D89" s="225"/>
      <c r="F89" s="278"/>
    </row>
    <row r="90" spans="1:10" ht="13.5">
      <c r="B90" s="243" t="s">
        <v>218</v>
      </c>
      <c r="D90" s="244"/>
      <c r="E90" s="245"/>
      <c r="F90" s="281">
        <f>SUM(F6:F88)</f>
        <v>0</v>
      </c>
    </row>
    <row r="92" spans="1:10">
      <c r="B92" s="362"/>
    </row>
    <row r="93" spans="1:10">
      <c r="B93" s="314"/>
    </row>
    <row r="102" spans="2:6" ht="193.15" customHeight="1">
      <c r="B102" s="363"/>
      <c r="C102" s="224"/>
      <c r="D102" s="236"/>
      <c r="F102" s="257"/>
    </row>
  </sheetData>
  <sheetProtection algorithmName="SHA-512" hashValue="GXU85wzz7+5TRu91KEZb++7/Ht6UKclPOsRvKwH7xrVu7lAYn0NUnAWlRDD8CDQp+XW+tBVpIA4fI/39bd/6eQ==" saltValue="tnz+TpDfrReHZYZPWy3Xx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3">
    <tabColor rgb="FFFFFF00"/>
  </sheetPr>
  <dimension ref="A1:J57"/>
  <sheetViews>
    <sheetView view="pageBreakPreview" zoomScaleNormal="100" zoomScaleSheetLayoutView="100" workbookViewId="0">
      <selection activeCell="B23" sqref="B23"/>
    </sheetView>
  </sheetViews>
  <sheetFormatPr defaultColWidth="9.140625" defaultRowHeight="12.75"/>
  <cols>
    <col min="1" max="1" width="5.42578125" style="222" customWidth="1"/>
    <col min="2" max="2" width="46.85546875" style="214" customWidth="1"/>
    <col min="3" max="3" width="5.42578125" style="214" customWidth="1"/>
    <col min="4" max="4" width="9" style="267" customWidth="1"/>
    <col min="5" max="5" width="9.140625" style="267"/>
    <col min="6" max="6" width="11.5703125" style="267" customWidth="1"/>
    <col min="7" max="9" width="9.140625" style="214"/>
    <col min="10" max="10" width="63.28515625" style="214" hidden="1" customWidth="1"/>
    <col min="11" max="16384" width="9.140625" style="214"/>
  </cols>
  <sheetData>
    <row r="1" spans="1:10">
      <c r="A1" s="354" t="s">
        <v>17</v>
      </c>
      <c r="B1" s="208" t="s">
        <v>606</v>
      </c>
      <c r="C1" s="253"/>
      <c r="D1" s="254"/>
      <c r="E1" s="254"/>
      <c r="F1" s="255"/>
    </row>
    <row r="2" spans="1:10" ht="4.5" customHeight="1">
      <c r="A2" s="355"/>
      <c r="B2" s="258"/>
      <c r="C2" s="212"/>
      <c r="D2" s="213"/>
      <c r="E2" s="213"/>
      <c r="F2" s="213"/>
    </row>
    <row r="3" spans="1:10" ht="27.75" customHeight="1">
      <c r="A3" s="356" t="s">
        <v>36</v>
      </c>
      <c r="B3" s="217" t="s">
        <v>0</v>
      </c>
      <c r="C3" s="284" t="s">
        <v>3</v>
      </c>
      <c r="D3" s="219" t="s">
        <v>1</v>
      </c>
      <c r="E3" s="220" t="s">
        <v>2</v>
      </c>
      <c r="F3" s="221" t="s">
        <v>163</v>
      </c>
    </row>
    <row r="4" spans="1:10">
      <c r="B4" s="260"/>
      <c r="C4" s="261"/>
      <c r="D4" s="262"/>
      <c r="E4" s="263"/>
      <c r="F4" s="262"/>
    </row>
    <row r="5" spans="1:10" ht="55.9" customHeight="1">
      <c r="B5" s="440" t="s">
        <v>432</v>
      </c>
      <c r="C5" s="440"/>
      <c r="D5" s="440"/>
      <c r="E5" s="440"/>
      <c r="F5" s="440"/>
    </row>
    <row r="6" spans="1:10">
      <c r="B6" s="266"/>
      <c r="C6" s="224"/>
      <c r="D6" s="236"/>
      <c r="F6" s="231"/>
    </row>
    <row r="7" spans="1:10" s="270" customFormat="1" ht="38.25">
      <c r="A7" s="227">
        <f>MAX($A$5:A6)+1</f>
        <v>1</v>
      </c>
      <c r="B7" s="228" t="s">
        <v>613</v>
      </c>
      <c r="C7" s="364"/>
      <c r="D7" s="230"/>
      <c r="E7" s="300"/>
      <c r="F7" s="300"/>
    </row>
    <row r="8" spans="1:10" s="270" customFormat="1" ht="42.75" customHeight="1">
      <c r="A8" s="232"/>
      <c r="B8" s="228" t="s">
        <v>439</v>
      </c>
      <c r="C8" s="364"/>
      <c r="D8" s="230"/>
      <c r="E8" s="300"/>
      <c r="F8" s="300"/>
    </row>
    <row r="9" spans="1:10" s="270" customFormat="1" ht="66.75" customHeight="1">
      <c r="A9" s="232"/>
      <c r="B9" s="228" t="s">
        <v>618</v>
      </c>
      <c r="C9" s="364"/>
      <c r="D9" s="230"/>
      <c r="E9" s="300"/>
      <c r="F9" s="300"/>
      <c r="J9" s="365" t="s">
        <v>440</v>
      </c>
    </row>
    <row r="10" spans="1:10" s="270" customFormat="1">
      <c r="A10" s="232"/>
      <c r="B10" s="228" t="s">
        <v>619</v>
      </c>
      <c r="C10" s="364"/>
      <c r="D10" s="230"/>
      <c r="E10" s="300"/>
      <c r="F10" s="300"/>
    </row>
    <row r="11" spans="1:10" s="270" customFormat="1" ht="51">
      <c r="A11" s="232"/>
      <c r="B11" s="228" t="s">
        <v>620</v>
      </c>
      <c r="C11" s="364"/>
      <c r="D11" s="230"/>
      <c r="E11" s="300"/>
      <c r="F11" s="300"/>
    </row>
    <row r="12" spans="1:10" s="270" customFormat="1">
      <c r="A12" s="227"/>
      <c r="B12" s="228" t="s">
        <v>614</v>
      </c>
      <c r="C12" s="364"/>
      <c r="D12" s="230"/>
      <c r="E12" s="300"/>
      <c r="F12" s="300"/>
    </row>
    <row r="13" spans="1:10" s="270" customFormat="1">
      <c r="A13" s="227"/>
      <c r="B13" s="228" t="s">
        <v>617</v>
      </c>
      <c r="C13" s="364"/>
      <c r="D13" s="230"/>
      <c r="E13" s="300"/>
      <c r="F13" s="300"/>
    </row>
    <row r="14" spans="1:10" s="270" customFormat="1" ht="25.5">
      <c r="A14" s="227"/>
      <c r="B14" s="228" t="s">
        <v>616</v>
      </c>
      <c r="C14" s="364"/>
      <c r="D14" s="230"/>
      <c r="E14" s="300"/>
      <c r="F14" s="300"/>
    </row>
    <row r="15" spans="1:10" s="270" customFormat="1">
      <c r="A15" s="227"/>
      <c r="B15" s="228" t="s">
        <v>615</v>
      </c>
      <c r="C15" s="364"/>
      <c r="D15" s="230"/>
      <c r="E15" s="300"/>
      <c r="F15" s="300"/>
    </row>
    <row r="16" spans="1:10" s="270" customFormat="1" ht="25.5">
      <c r="A16" s="227"/>
      <c r="B16" s="228" t="s">
        <v>627</v>
      </c>
      <c r="C16" s="364"/>
      <c r="D16" s="230"/>
      <c r="E16" s="300"/>
      <c r="F16" s="300"/>
    </row>
    <row r="17" spans="1:10" s="270" customFormat="1">
      <c r="A17" s="227"/>
      <c r="B17" s="228" t="s">
        <v>626</v>
      </c>
      <c r="C17" s="364"/>
      <c r="D17" s="230"/>
      <c r="E17" s="300"/>
      <c r="F17" s="300"/>
    </row>
    <row r="18" spans="1:10" s="270" customFormat="1" ht="147.75" customHeight="1">
      <c r="A18" s="232"/>
      <c r="B18" s="366" t="s">
        <v>621</v>
      </c>
      <c r="C18" s="229" t="s">
        <v>4</v>
      </c>
      <c r="D18" s="230">
        <f>711-62+1</f>
        <v>650</v>
      </c>
      <c r="E18" s="267"/>
      <c r="F18" s="231">
        <f>E18*D18</f>
        <v>0</v>
      </c>
    </row>
    <row r="19" spans="1:10">
      <c r="A19" s="232"/>
      <c r="B19" s="357"/>
      <c r="C19" s="229"/>
      <c r="D19" s="230"/>
      <c r="F19" s="231"/>
    </row>
    <row r="20" spans="1:10" s="270" customFormat="1" ht="38.25">
      <c r="A20" s="227">
        <f>MAX($A$5:A19)+1</f>
        <v>2</v>
      </c>
      <c r="B20" s="228" t="s">
        <v>622</v>
      </c>
      <c r="C20" s="364"/>
      <c r="D20" s="230"/>
      <c r="E20" s="267"/>
      <c r="F20" s="300"/>
    </row>
    <row r="21" spans="1:10" s="270" customFormat="1" ht="42.75" customHeight="1">
      <c r="A21" s="232"/>
      <c r="B21" s="228" t="s">
        <v>439</v>
      </c>
      <c r="C21" s="364"/>
      <c r="D21" s="230"/>
      <c r="E21" s="267"/>
      <c r="F21" s="300"/>
    </row>
    <row r="22" spans="1:10" s="270" customFormat="1" ht="66.75" customHeight="1">
      <c r="A22" s="232"/>
      <c r="B22" s="228" t="s">
        <v>618</v>
      </c>
      <c r="C22" s="364"/>
      <c r="D22" s="230"/>
      <c r="E22" s="267"/>
      <c r="F22" s="300"/>
      <c r="J22" s="365" t="s">
        <v>440</v>
      </c>
    </row>
    <row r="23" spans="1:10" s="270" customFormat="1">
      <c r="A23" s="232"/>
      <c r="B23" s="228" t="s">
        <v>619</v>
      </c>
      <c r="C23" s="364"/>
      <c r="D23" s="230"/>
      <c r="E23" s="267"/>
      <c r="F23" s="300"/>
    </row>
    <row r="24" spans="1:10" s="270" customFormat="1" ht="43.5" customHeight="1">
      <c r="A24" s="232"/>
      <c r="B24" s="228" t="s">
        <v>620</v>
      </c>
      <c r="C24" s="364"/>
      <c r="D24" s="230"/>
      <c r="E24" s="267"/>
      <c r="F24" s="300"/>
    </row>
    <row r="25" spans="1:10" s="270" customFormat="1">
      <c r="A25" s="227"/>
      <c r="B25" s="228" t="s">
        <v>614</v>
      </c>
      <c r="C25" s="364"/>
      <c r="D25" s="230"/>
      <c r="E25" s="267"/>
      <c r="F25" s="300"/>
    </row>
    <row r="26" spans="1:10" s="270" customFormat="1">
      <c r="A26" s="227"/>
      <c r="B26" s="228" t="s">
        <v>617</v>
      </c>
      <c r="C26" s="364"/>
      <c r="D26" s="230"/>
      <c r="E26" s="267"/>
      <c r="F26" s="300"/>
    </row>
    <row r="27" spans="1:10" s="270" customFormat="1" ht="25.5">
      <c r="A27" s="227"/>
      <c r="B27" s="228" t="s">
        <v>616</v>
      </c>
      <c r="C27" s="364"/>
      <c r="D27" s="230"/>
      <c r="E27" s="267"/>
      <c r="F27" s="300"/>
    </row>
    <row r="28" spans="1:10" s="270" customFormat="1">
      <c r="A28" s="227"/>
      <c r="B28" s="228" t="s">
        <v>615</v>
      </c>
      <c r="C28" s="364"/>
      <c r="D28" s="230"/>
      <c r="E28" s="267"/>
      <c r="F28" s="300"/>
    </row>
    <row r="29" spans="1:10" s="270" customFormat="1" ht="51.75" customHeight="1">
      <c r="A29" s="227"/>
      <c r="B29" s="228" t="s">
        <v>771</v>
      </c>
      <c r="C29" s="364"/>
      <c r="D29" s="230"/>
      <c r="E29" s="267"/>
      <c r="F29" s="300"/>
    </row>
    <row r="30" spans="1:10" s="270" customFormat="1">
      <c r="A30" s="227"/>
      <c r="B30" s="228" t="s">
        <v>623</v>
      </c>
      <c r="C30" s="364"/>
      <c r="D30" s="230"/>
      <c r="E30" s="267"/>
      <c r="F30" s="300"/>
    </row>
    <row r="31" spans="1:10" s="270" customFormat="1" ht="25.5">
      <c r="A31" s="227"/>
      <c r="B31" s="228" t="s">
        <v>624</v>
      </c>
      <c r="C31" s="364"/>
      <c r="D31" s="230"/>
      <c r="E31" s="267"/>
      <c r="F31" s="300"/>
    </row>
    <row r="32" spans="1:10" s="270" customFormat="1" ht="105" customHeight="1">
      <c r="A32" s="232"/>
      <c r="B32" s="366" t="s">
        <v>625</v>
      </c>
      <c r="C32" s="229" t="s">
        <v>4</v>
      </c>
      <c r="D32" s="230">
        <v>65</v>
      </c>
      <c r="E32" s="267"/>
      <c r="F32" s="231">
        <f>E32*D32</f>
        <v>0</v>
      </c>
    </row>
    <row r="33" spans="1:6" s="270" customFormat="1">
      <c r="A33" s="232"/>
      <c r="B33" s="366"/>
      <c r="C33" s="229"/>
      <c r="D33" s="230"/>
      <c r="E33" s="267"/>
      <c r="F33" s="231"/>
    </row>
    <row r="34" spans="1:6" ht="52.5" customHeight="1">
      <c r="A34" s="227">
        <f>MAX($A$5:A33)+1</f>
        <v>3</v>
      </c>
      <c r="B34" s="228" t="s">
        <v>770</v>
      </c>
      <c r="C34" s="229" t="s">
        <v>204</v>
      </c>
      <c r="D34" s="230">
        <v>140</v>
      </c>
      <c r="F34" s="231">
        <f>E34*D34</f>
        <v>0</v>
      </c>
    </row>
    <row r="35" spans="1:6" s="270" customFormat="1">
      <c r="A35" s="232"/>
      <c r="B35" s="366"/>
      <c r="C35" s="229"/>
      <c r="D35" s="230"/>
      <c r="E35" s="267"/>
      <c r="F35" s="231"/>
    </row>
    <row r="36" spans="1:6" ht="52.5" customHeight="1">
      <c r="A36" s="227">
        <f>MAX($A$5:A35)+1</f>
        <v>4</v>
      </c>
      <c r="B36" s="357" t="s">
        <v>447</v>
      </c>
      <c r="C36" s="229" t="s">
        <v>175</v>
      </c>
      <c r="D36" s="230">
        <v>3</v>
      </c>
      <c r="F36" s="231">
        <f>E36*D36</f>
        <v>0</v>
      </c>
    </row>
    <row r="37" spans="1:6" s="270" customFormat="1">
      <c r="A37" s="227"/>
      <c r="B37" s="367"/>
      <c r="C37" s="229"/>
      <c r="D37" s="230"/>
      <c r="E37" s="267"/>
      <c r="F37" s="231"/>
    </row>
    <row r="38" spans="1:6" ht="51">
      <c r="A38" s="227">
        <f>MAX($A$5:A37)+1</f>
        <v>5</v>
      </c>
      <c r="B38" s="357" t="s">
        <v>634</v>
      </c>
      <c r="C38" s="320" t="s">
        <v>175</v>
      </c>
      <c r="D38" s="371">
        <v>1</v>
      </c>
      <c r="F38" s="231">
        <f>E38*D38</f>
        <v>0</v>
      </c>
    </row>
    <row r="39" spans="1:6">
      <c r="A39" s="232"/>
      <c r="B39" s="357"/>
      <c r="C39" s="229"/>
      <c r="D39" s="230"/>
      <c r="F39" s="231"/>
    </row>
    <row r="40" spans="1:6" ht="51">
      <c r="A40" s="227">
        <f>MAX($A$5:A39)+1</f>
        <v>6</v>
      </c>
      <c r="B40" s="357" t="s">
        <v>628</v>
      </c>
      <c r="C40" s="229" t="s">
        <v>4</v>
      </c>
      <c r="D40" s="230">
        <v>130</v>
      </c>
      <c r="F40" s="231">
        <f>E40*D40</f>
        <v>0</v>
      </c>
    </row>
    <row r="41" spans="1:6">
      <c r="A41" s="232"/>
      <c r="B41" s="341"/>
      <c r="C41" s="341"/>
      <c r="D41" s="341"/>
      <c r="F41" s="341"/>
    </row>
    <row r="42" spans="1:6" ht="51">
      <c r="A42" s="227">
        <f>MAX($A$5:A41)+1</f>
        <v>7</v>
      </c>
      <c r="B42" s="357" t="s">
        <v>629</v>
      </c>
      <c r="C42" s="229" t="s">
        <v>204</v>
      </c>
      <c r="D42" s="230">
        <f>128.35+17+0.65</f>
        <v>146</v>
      </c>
      <c r="F42" s="231">
        <f>E42*D42</f>
        <v>0</v>
      </c>
    </row>
    <row r="43" spans="1:6">
      <c r="B43" s="223"/>
      <c r="C43" s="360"/>
      <c r="D43" s="361"/>
      <c r="E43" s="347"/>
      <c r="F43" s="348"/>
    </row>
    <row r="44" spans="1:6">
      <c r="A44" s="238"/>
      <c r="B44" s="239"/>
      <c r="C44" s="306"/>
      <c r="D44" s="225"/>
      <c r="F44" s="278"/>
    </row>
    <row r="45" spans="1:6" ht="13.5">
      <c r="B45" s="243" t="s">
        <v>607</v>
      </c>
      <c r="D45" s="244"/>
      <c r="E45" s="245"/>
      <c r="F45" s="281">
        <f>SUM(F6:F43)</f>
        <v>0</v>
      </c>
    </row>
    <row r="47" spans="1:6">
      <c r="B47" s="362"/>
    </row>
    <row r="48" spans="1:6">
      <c r="B48" s="314"/>
    </row>
    <row r="57" spans="2:6" ht="193.15" customHeight="1">
      <c r="B57" s="363"/>
      <c r="C57" s="224"/>
      <c r="D57" s="236"/>
      <c r="F57" s="257"/>
    </row>
  </sheetData>
  <sheetProtection algorithmName="SHA-512" hashValue="9WlviA5jBTKnunB5OXUTDrEHbz+cTaWIg+eZhzMVNvRUrQi3wLxIXNd5sQ7/t/J0Xir9aOnQAKZOyEfaGzFoiQ==" saltValue="3+KZi944fpFXSO7zPLFYww=="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4">
    <tabColor rgb="FFFFFF00"/>
  </sheetPr>
  <dimension ref="A1:I47"/>
  <sheetViews>
    <sheetView view="pageBreakPreview" zoomScaleNormal="100" zoomScaleSheetLayoutView="100" workbookViewId="0">
      <selection activeCell="B23" sqref="B23"/>
    </sheetView>
  </sheetViews>
  <sheetFormatPr defaultColWidth="9.140625" defaultRowHeight="12.75"/>
  <cols>
    <col min="1" max="1" width="4.85546875" style="282" customWidth="1"/>
    <col min="2" max="2" width="46.85546875" style="215" customWidth="1"/>
    <col min="3" max="3" width="6.140625" style="215" customWidth="1"/>
    <col min="4" max="4" width="9" style="248" customWidth="1"/>
    <col min="5" max="5" width="9.140625" style="248"/>
    <col min="6" max="6" width="11.5703125" style="248" customWidth="1"/>
    <col min="7" max="16384" width="9.140625" style="215"/>
  </cols>
  <sheetData>
    <row r="1" spans="1:9">
      <c r="A1" s="354" t="s">
        <v>18</v>
      </c>
      <c r="B1" s="208" t="s">
        <v>57</v>
      </c>
      <c r="C1" s="253"/>
      <c r="D1" s="254"/>
      <c r="E1" s="254"/>
      <c r="F1" s="255"/>
    </row>
    <row r="2" spans="1:9" ht="4.5" customHeight="1">
      <c r="A2" s="355"/>
      <c r="B2" s="258"/>
      <c r="C2" s="212"/>
      <c r="D2" s="213"/>
      <c r="E2" s="213"/>
      <c r="F2" s="213"/>
    </row>
    <row r="3" spans="1:9" ht="28.5" customHeight="1">
      <c r="A3" s="372" t="s">
        <v>36</v>
      </c>
      <c r="B3" s="217" t="s">
        <v>0</v>
      </c>
      <c r="C3" s="218" t="s">
        <v>3</v>
      </c>
      <c r="D3" s="219" t="s">
        <v>1</v>
      </c>
      <c r="E3" s="220" t="s">
        <v>2</v>
      </c>
      <c r="F3" s="221" t="s">
        <v>163</v>
      </c>
    </row>
    <row r="4" spans="1:9">
      <c r="A4" s="222"/>
      <c r="B4" s="285"/>
      <c r="C4" s="339"/>
      <c r="D4" s="244"/>
      <c r="E4" s="245"/>
      <c r="F4" s="245"/>
    </row>
    <row r="5" spans="1:9" ht="57.6" customHeight="1">
      <c r="A5" s="222"/>
      <c r="B5" s="443" t="s">
        <v>460</v>
      </c>
      <c r="C5" s="443"/>
      <c r="D5" s="443"/>
      <c r="E5" s="443"/>
      <c r="F5" s="443"/>
    </row>
    <row r="6" spans="1:9" ht="11.25" customHeight="1">
      <c r="A6" s="222"/>
      <c r="B6" s="266"/>
      <c r="C6" s="224"/>
      <c r="D6" s="236"/>
      <c r="E6" s="245"/>
      <c r="F6" s="257"/>
    </row>
    <row r="7" spans="1:9" s="214" customFormat="1" ht="163.5" customHeight="1">
      <c r="A7" s="227">
        <f>MAX($A$5:A6)+1</f>
        <v>1</v>
      </c>
      <c r="B7" s="228" t="s">
        <v>464</v>
      </c>
      <c r="C7" s="229" t="s">
        <v>7</v>
      </c>
      <c r="D7" s="230">
        <v>36372.36</v>
      </c>
      <c r="E7" s="267"/>
      <c r="F7" s="231">
        <f>E7*D7</f>
        <v>0</v>
      </c>
      <c r="I7" s="236"/>
    </row>
    <row r="8" spans="1:9">
      <c r="A8" s="286"/>
      <c r="B8" s="283"/>
      <c r="C8" s="288"/>
      <c r="D8" s="289"/>
      <c r="E8" s="267"/>
      <c r="F8" s="315"/>
    </row>
    <row r="9" spans="1:9" ht="94.5" customHeight="1">
      <c r="A9" s="227">
        <f>MAX($A$5:A8)+1</f>
        <v>2</v>
      </c>
      <c r="B9" s="228" t="s">
        <v>462</v>
      </c>
      <c r="C9" s="229" t="s">
        <v>7</v>
      </c>
      <c r="D9" s="230">
        <f>(3.71*2*31.6)*1.03</f>
        <v>241.50616000000002</v>
      </c>
      <c r="E9" s="267"/>
      <c r="F9" s="231">
        <f>E9*D9</f>
        <v>0</v>
      </c>
    </row>
    <row r="10" spans="1:9">
      <c r="A10" s="286"/>
      <c r="B10" s="283"/>
      <c r="C10" s="288"/>
      <c r="D10" s="289"/>
      <c r="E10" s="267"/>
      <c r="F10" s="315"/>
    </row>
    <row r="11" spans="1:9" ht="117.75" customHeight="1">
      <c r="A11" s="227">
        <f>MAX($A$5:A10)+1</f>
        <v>3</v>
      </c>
      <c r="B11" s="228" t="s">
        <v>463</v>
      </c>
      <c r="C11" s="229" t="s">
        <v>7</v>
      </c>
      <c r="D11" s="230">
        <f>(9.28*2*51.6+(9.3+10.6+10.8+10)*31.6+24.7*(3.84+3.84+3.84+4.06)+5.26*8*2.47*1.03)*1.15</f>
        <v>3146.0523871999994</v>
      </c>
      <c r="E11" s="267"/>
      <c r="F11" s="231">
        <f>E11*D11</f>
        <v>0</v>
      </c>
    </row>
    <row r="12" spans="1:9">
      <c r="A12" s="286"/>
      <c r="B12" s="228"/>
      <c r="C12" s="229"/>
      <c r="D12" s="230"/>
      <c r="E12" s="267"/>
      <c r="F12" s="231"/>
    </row>
    <row r="13" spans="1:9" s="214" customFormat="1" ht="165.75">
      <c r="A13" s="227">
        <f>MAX($A$5:A12)+1</f>
        <v>4</v>
      </c>
      <c r="B13" s="228" t="s">
        <v>725</v>
      </c>
      <c r="C13" s="229" t="s">
        <v>204</v>
      </c>
      <c r="D13" s="230">
        <f>9.5+9.5+6</f>
        <v>25</v>
      </c>
      <c r="E13" s="267"/>
      <c r="F13" s="231">
        <f>E13*D13</f>
        <v>0</v>
      </c>
    </row>
    <row r="14" spans="1:9" s="214" customFormat="1">
      <c r="A14" s="232"/>
      <c r="B14" s="228"/>
      <c r="C14" s="229"/>
      <c r="D14" s="230"/>
      <c r="E14" s="267"/>
      <c r="F14" s="231"/>
    </row>
    <row r="15" spans="1:9" s="214" customFormat="1" ht="165.75">
      <c r="A15" s="227">
        <f>MAX($A$5:A14)+1</f>
        <v>5</v>
      </c>
      <c r="B15" s="228" t="s">
        <v>726</v>
      </c>
      <c r="C15" s="229" t="s">
        <v>204</v>
      </c>
      <c r="D15" s="230">
        <f>(2.45*6+1.35*6)*2</f>
        <v>45.600000000000009</v>
      </c>
      <c r="E15" s="267"/>
      <c r="F15" s="231">
        <f>E15*D15</f>
        <v>0</v>
      </c>
    </row>
    <row r="16" spans="1:9" s="214" customFormat="1">
      <c r="A16" s="232"/>
      <c r="B16" s="228"/>
      <c r="C16" s="229"/>
      <c r="D16" s="230"/>
      <c r="E16" s="267"/>
      <c r="F16" s="231"/>
    </row>
    <row r="17" spans="1:9" s="214" customFormat="1" ht="153">
      <c r="A17" s="227">
        <f>MAX($A$5:A16)+1</f>
        <v>6</v>
      </c>
      <c r="B17" s="228" t="s">
        <v>732</v>
      </c>
      <c r="C17" s="229" t="s">
        <v>204</v>
      </c>
      <c r="D17" s="230">
        <v>23.5</v>
      </c>
      <c r="E17" s="267"/>
      <c r="F17" s="231">
        <f>E17*D17</f>
        <v>0</v>
      </c>
    </row>
    <row r="18" spans="1:9" s="214" customFormat="1">
      <c r="A18" s="227"/>
      <c r="B18" s="228"/>
      <c r="C18" s="229"/>
      <c r="D18" s="230"/>
      <c r="E18" s="267"/>
      <c r="F18" s="231"/>
    </row>
    <row r="19" spans="1:9" s="214" customFormat="1" ht="153">
      <c r="A19" s="227">
        <f>MAX($A$5:A17)+1</f>
        <v>7</v>
      </c>
      <c r="B19" s="228" t="s">
        <v>731</v>
      </c>
      <c r="C19" s="229" t="s">
        <v>204</v>
      </c>
      <c r="D19" s="230">
        <v>33</v>
      </c>
      <c r="E19" s="267"/>
      <c r="F19" s="231">
        <f>E19*D19</f>
        <v>0</v>
      </c>
    </row>
    <row r="20" spans="1:9" s="214" customFormat="1">
      <c r="A20" s="232"/>
      <c r="B20" s="228"/>
      <c r="C20" s="229"/>
      <c r="D20" s="230"/>
      <c r="E20" s="267"/>
      <c r="F20" s="231"/>
    </row>
    <row r="21" spans="1:9" s="214" customFormat="1" ht="191.25">
      <c r="A21" s="227">
        <f>MAX($A$5:A20)+1</f>
        <v>8</v>
      </c>
      <c r="B21" s="228" t="s">
        <v>730</v>
      </c>
      <c r="C21" s="229" t="s">
        <v>204</v>
      </c>
      <c r="D21" s="230">
        <f>22.5</f>
        <v>22.5</v>
      </c>
      <c r="E21" s="267"/>
      <c r="F21" s="231">
        <f>E21*D21</f>
        <v>0</v>
      </c>
    </row>
    <row r="22" spans="1:9" s="214" customFormat="1">
      <c r="A22" s="232"/>
      <c r="B22" s="228"/>
      <c r="C22" s="229"/>
      <c r="D22" s="230"/>
      <c r="E22" s="267"/>
      <c r="F22" s="231"/>
    </row>
    <row r="23" spans="1:9" s="214" customFormat="1" ht="191.25">
      <c r="A23" s="227">
        <f>MAX($A$5:A22)+1</f>
        <v>9</v>
      </c>
      <c r="B23" s="228" t="s">
        <v>729</v>
      </c>
      <c r="C23" s="229" t="s">
        <v>204</v>
      </c>
      <c r="D23" s="230">
        <f>3.6+3.15</f>
        <v>6.75</v>
      </c>
      <c r="E23" s="267"/>
      <c r="F23" s="231">
        <f>E23*D23</f>
        <v>0</v>
      </c>
    </row>
    <row r="24" spans="1:9" s="214" customFormat="1">
      <c r="A24" s="232"/>
      <c r="B24" s="228"/>
      <c r="C24" s="229"/>
      <c r="D24" s="230"/>
      <c r="E24" s="267"/>
      <c r="F24" s="231"/>
    </row>
    <row r="25" spans="1:9" s="214" customFormat="1" ht="178.5">
      <c r="A25" s="227">
        <f>MAX($A$5:A24)+1</f>
        <v>10</v>
      </c>
      <c r="B25" s="228" t="s">
        <v>727</v>
      </c>
      <c r="C25" s="229" t="s">
        <v>204</v>
      </c>
      <c r="D25" s="230">
        <v>22.5</v>
      </c>
      <c r="E25" s="267"/>
      <c r="F25" s="231">
        <f>E25*D25</f>
        <v>0</v>
      </c>
    </row>
    <row r="26" spans="1:9" s="214" customFormat="1">
      <c r="A26" s="232"/>
      <c r="B26" s="228"/>
      <c r="C26" s="229"/>
      <c r="D26" s="230"/>
      <c r="E26" s="267"/>
      <c r="F26" s="231"/>
    </row>
    <row r="27" spans="1:9" s="214" customFormat="1" ht="194.25" customHeight="1">
      <c r="A27" s="227">
        <f>MAX($A$5:A26)+1</f>
        <v>11</v>
      </c>
      <c r="B27" s="228" t="s">
        <v>728</v>
      </c>
      <c r="C27" s="229" t="s">
        <v>204</v>
      </c>
      <c r="D27" s="230">
        <f>3.6+3.15</f>
        <v>6.75</v>
      </c>
      <c r="E27" s="267"/>
      <c r="F27" s="231">
        <f>E27*D27</f>
        <v>0</v>
      </c>
      <c r="I27" s="228"/>
    </row>
    <row r="28" spans="1:9">
      <c r="A28" s="286"/>
      <c r="B28" s="283"/>
      <c r="C28" s="288"/>
      <c r="D28" s="289"/>
      <c r="E28" s="267"/>
      <c r="F28" s="315"/>
    </row>
    <row r="29" spans="1:9" ht="38.25">
      <c r="A29" s="227">
        <f>MAX($A$5:A28)+1</f>
        <v>12</v>
      </c>
      <c r="B29" s="228" t="s">
        <v>470</v>
      </c>
      <c r="C29" s="229" t="s">
        <v>10</v>
      </c>
      <c r="D29" s="230">
        <v>1</v>
      </c>
      <c r="E29" s="267"/>
      <c r="F29" s="231">
        <f>E29*D29</f>
        <v>0</v>
      </c>
    </row>
    <row r="30" spans="1:9">
      <c r="A30" s="286"/>
      <c r="B30" s="283"/>
      <c r="C30" s="288"/>
      <c r="D30" s="289"/>
      <c r="E30" s="267"/>
      <c r="F30" s="315"/>
    </row>
    <row r="31" spans="1:9" ht="51" customHeight="1">
      <c r="A31" s="227">
        <f>MAX($A$5:A30)+1</f>
        <v>13</v>
      </c>
      <c r="B31" s="228" t="s">
        <v>740</v>
      </c>
      <c r="C31" s="229" t="s">
        <v>4</v>
      </c>
      <c r="D31" s="230">
        <f>1.4+5.3+0.3</f>
        <v>6.9999999999999991</v>
      </c>
      <c r="E31" s="267"/>
      <c r="F31" s="231">
        <f>E31*D31</f>
        <v>0</v>
      </c>
    </row>
    <row r="32" spans="1:9">
      <c r="A32" s="227"/>
      <c r="B32" s="228"/>
      <c r="C32" s="229"/>
      <c r="D32" s="230"/>
      <c r="E32" s="267"/>
      <c r="F32" s="231"/>
    </row>
    <row r="33" spans="1:6" ht="117" customHeight="1">
      <c r="A33" s="227">
        <f>MAX($A$5:A32)+1</f>
        <v>14</v>
      </c>
      <c r="B33" s="228" t="s">
        <v>736</v>
      </c>
      <c r="C33" s="229" t="s">
        <v>7</v>
      </c>
      <c r="D33" s="230">
        <f>((1.7*8+1.2*12)*5.2*2+3.2*4+0.6*4+1*12+0.6*4)*1.25+49</f>
        <v>449.99999999999994</v>
      </c>
      <c r="E33" s="267"/>
      <c r="F33" s="231">
        <f>E33*D33</f>
        <v>0</v>
      </c>
    </row>
    <row r="34" spans="1:6">
      <c r="A34" s="227"/>
      <c r="B34" s="228"/>
      <c r="C34" s="229"/>
      <c r="D34" s="230"/>
      <c r="E34" s="267"/>
      <c r="F34" s="231"/>
    </row>
    <row r="35" spans="1:6" s="131" customFormat="1" ht="63.75">
      <c r="A35" s="227">
        <f>MAX($A$5:A34)+1</f>
        <v>15</v>
      </c>
      <c r="B35" s="228" t="s">
        <v>737</v>
      </c>
      <c r="E35" s="267"/>
    </row>
    <row r="36" spans="1:6" s="270" customFormat="1">
      <c r="A36" s="232" t="s">
        <v>586</v>
      </c>
      <c r="B36" s="228" t="s">
        <v>738</v>
      </c>
      <c r="C36" s="229" t="s">
        <v>175</v>
      </c>
      <c r="D36" s="230">
        <v>2</v>
      </c>
      <c r="E36" s="267"/>
      <c r="F36" s="231">
        <f>E36*D36</f>
        <v>0</v>
      </c>
    </row>
    <row r="37" spans="1:6" s="270" customFormat="1">
      <c r="A37" s="232" t="s">
        <v>587</v>
      </c>
      <c r="B37" s="228" t="s">
        <v>739</v>
      </c>
      <c r="C37" s="229" t="s">
        <v>175</v>
      </c>
      <c r="D37" s="230">
        <v>1</v>
      </c>
      <c r="E37" s="267"/>
      <c r="F37" s="231">
        <f>E37*D37</f>
        <v>0</v>
      </c>
    </row>
    <row r="38" spans="1:6" s="270" customFormat="1">
      <c r="A38" s="232"/>
      <c r="B38" s="228"/>
      <c r="C38" s="229"/>
      <c r="D38" s="230"/>
      <c r="E38" s="267"/>
      <c r="F38" s="231"/>
    </row>
    <row r="39" spans="1:6" s="131" customFormat="1" ht="51">
      <c r="A39" s="227">
        <f>MAX($A$5:A38)+1</f>
        <v>16</v>
      </c>
      <c r="B39" s="228" t="s">
        <v>767</v>
      </c>
      <c r="C39" s="229" t="s">
        <v>175</v>
      </c>
      <c r="D39" s="230">
        <v>1</v>
      </c>
      <c r="E39" s="267"/>
      <c r="F39" s="231">
        <f>E39*D39</f>
        <v>0</v>
      </c>
    </row>
    <row r="40" spans="1:6">
      <c r="A40" s="286"/>
      <c r="B40" s="373"/>
      <c r="C40" s="374"/>
      <c r="D40" s="375"/>
      <c r="E40" s="304"/>
      <c r="F40" s="305"/>
    </row>
    <row r="41" spans="1:6">
      <c r="A41" s="376"/>
      <c r="B41" s="333"/>
      <c r="C41" s="334"/>
      <c r="D41" s="377"/>
      <c r="F41" s="336"/>
    </row>
    <row r="42" spans="1:6">
      <c r="B42" s="243" t="s">
        <v>219</v>
      </c>
      <c r="D42" s="378"/>
      <c r="E42" s="379"/>
      <c r="F42" s="246">
        <f>SUM(F6:F40)</f>
        <v>0</v>
      </c>
    </row>
    <row r="44" spans="1:6">
      <c r="B44" s="307"/>
    </row>
    <row r="45" spans="1:6">
      <c r="B45" s="247"/>
    </row>
    <row r="47" spans="1:6" s="247" customFormat="1" ht="103.5" customHeight="1">
      <c r="A47" s="368">
        <f>MAX($A$5:A46)+1</f>
        <v>17</v>
      </c>
      <c r="B47" s="283"/>
      <c r="C47" s="288"/>
      <c r="D47" s="289"/>
      <c r="E47" s="248"/>
      <c r="F47" s="315"/>
    </row>
  </sheetData>
  <sheetProtection algorithmName="SHA-512" hashValue="WINcSO95ylNQby29b2uOUPMuOUdEg0q9RKB3w6RRG6PTqWdJQjmKc9oJw12STKUgAItN3jsvr1hYFweVaQXmJQ==" saltValue="pR6Z1A/X2M46uETCxcRiDQ==" spinCount="100000" sheet="1" objects="1" scenarios="1"/>
  <mergeCells count="1">
    <mergeCell ref="B5:F5"/>
  </mergeCells>
  <pageMargins left="0.98425196850393704" right="0.35433070866141736" top="0.74803149606299213" bottom="0.74803149606299213" header="0.31496062992125984" footer="0.31496062992125984"/>
  <pageSetup paperSize="9" fitToHeight="0" orientation="portrait" r:id="rId1"/>
  <headerFooter alignWithMargins="0">
    <oddHeader>&amp;C&amp;"Arial Narrow,Navadno"&amp;K00-033&amp;F; &amp;A</oddHeader>
    <oddFooter>&amp;C&amp;"Arial Narrow,Navadno"&amp;Y&amp;K00-034&amp;P od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5">
    <tabColor rgb="FFFFFF00"/>
  </sheetPr>
  <dimension ref="A1:F16"/>
  <sheetViews>
    <sheetView view="pageBreakPreview" topLeftCell="A4" zoomScaleSheetLayoutView="100" workbookViewId="0">
      <selection activeCell="B9" sqref="B9"/>
    </sheetView>
  </sheetViews>
  <sheetFormatPr defaultColWidth="9.140625" defaultRowHeight="12.75"/>
  <cols>
    <col min="1" max="1" width="5.85546875" style="131" customWidth="1"/>
    <col min="2" max="2" width="46.85546875" style="131" customWidth="1"/>
    <col min="3" max="3" width="6.140625" style="133" customWidth="1"/>
    <col min="4" max="4" width="8" style="136" customWidth="1"/>
    <col min="5" max="5" width="9.140625" style="148"/>
    <col min="6" max="6" width="11.5703125" style="148" customWidth="1"/>
    <col min="7" max="16384" width="9.140625" style="131"/>
  </cols>
  <sheetData>
    <row r="1" spans="1:6">
      <c r="A1" s="137" t="s">
        <v>18</v>
      </c>
      <c r="B1" s="138" t="s">
        <v>28</v>
      </c>
      <c r="C1" s="139"/>
      <c r="D1" s="140"/>
      <c r="E1" s="141"/>
      <c r="F1" s="142"/>
    </row>
    <row r="2" spans="1:6" ht="4.5" customHeight="1">
      <c r="A2" s="145"/>
      <c r="B2" s="145"/>
      <c r="C2" s="151"/>
      <c r="D2" s="152"/>
      <c r="E2" s="146"/>
      <c r="F2" s="146"/>
    </row>
    <row r="3" spans="1:6" ht="27.75" customHeight="1">
      <c r="A3" s="125" t="s">
        <v>36</v>
      </c>
      <c r="B3" s="126" t="s">
        <v>0</v>
      </c>
      <c r="C3" s="127" t="s">
        <v>3</v>
      </c>
      <c r="D3" s="128" t="s">
        <v>1</v>
      </c>
      <c r="E3" s="129" t="s">
        <v>2</v>
      </c>
      <c r="F3" s="130" t="s">
        <v>163</v>
      </c>
    </row>
    <row r="4" spans="1:6">
      <c r="A4" s="132"/>
      <c r="B4" s="147"/>
      <c r="E4" s="134"/>
      <c r="F4" s="134"/>
    </row>
    <row r="5" spans="1:6" ht="120" customHeight="1">
      <c r="A5" s="132"/>
      <c r="B5" s="444" t="s">
        <v>242</v>
      </c>
      <c r="C5" s="444"/>
      <c r="D5" s="444"/>
      <c r="E5" s="444"/>
      <c r="F5" s="444"/>
    </row>
    <row r="7" spans="1:6" ht="140.25">
      <c r="A7" s="132" t="s">
        <v>13</v>
      </c>
      <c r="B7" s="4" t="s">
        <v>249</v>
      </c>
      <c r="C7" s="133" t="s">
        <v>4</v>
      </c>
      <c r="D7" s="136">
        <f>57.5+6.8</f>
        <v>64.3</v>
      </c>
      <c r="E7" s="134"/>
      <c r="F7" s="135">
        <f>E7*D7</f>
        <v>0</v>
      </c>
    </row>
    <row r="8" spans="1:6">
      <c r="A8" s="132"/>
      <c r="B8" s="4"/>
      <c r="E8" s="134"/>
      <c r="F8" s="135"/>
    </row>
    <row r="9" spans="1:6" ht="102">
      <c r="A9" s="132" t="s">
        <v>37</v>
      </c>
      <c r="B9" s="4" t="s">
        <v>245</v>
      </c>
      <c r="C9" s="133" t="s">
        <v>4</v>
      </c>
      <c r="D9" s="136">
        <v>16.100000000000001</v>
      </c>
      <c r="E9" s="134"/>
      <c r="F9" s="135">
        <f>E9*D9</f>
        <v>0</v>
      </c>
    </row>
    <row r="10" spans="1:6">
      <c r="B10" s="149"/>
    </row>
    <row r="11" spans="1:6">
      <c r="A11" s="153"/>
      <c r="B11" s="150"/>
      <c r="C11" s="151"/>
      <c r="D11" s="152"/>
      <c r="E11" s="146"/>
      <c r="F11" s="146"/>
    </row>
    <row r="12" spans="1:6">
      <c r="B12" s="143" t="s">
        <v>241</v>
      </c>
      <c r="F12" s="144">
        <f>SUM(F7:F9)</f>
        <v>0</v>
      </c>
    </row>
    <row r="16" spans="1:6">
      <c r="B16" s="154"/>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6">
    <tabColor rgb="FFFFFF00"/>
  </sheetPr>
  <dimension ref="A1:F15"/>
  <sheetViews>
    <sheetView view="pageBreakPreview" zoomScaleNormal="100" zoomScaleSheetLayoutView="100" workbookViewId="0">
      <selection activeCell="B23" sqref="B23"/>
    </sheetView>
  </sheetViews>
  <sheetFormatPr defaultColWidth="9.140625" defaultRowHeight="12.75"/>
  <cols>
    <col min="1" max="1" width="4.85546875" style="222" customWidth="1"/>
    <col min="2" max="2" width="46.85546875" style="214" customWidth="1"/>
    <col min="3" max="3" width="6.140625" style="214" customWidth="1"/>
    <col min="4" max="4" width="9" style="267" customWidth="1"/>
    <col min="5" max="5" width="9.140625" style="267"/>
    <col min="6" max="6" width="11.5703125" style="267" customWidth="1"/>
    <col min="7" max="16384" width="9.140625" style="214"/>
  </cols>
  <sheetData>
    <row r="1" spans="1:6">
      <c r="A1" s="354" t="s">
        <v>19</v>
      </c>
      <c r="B1" s="208" t="s">
        <v>279</v>
      </c>
      <c r="C1" s="253"/>
      <c r="D1" s="254"/>
      <c r="E1" s="254"/>
      <c r="F1" s="255"/>
    </row>
    <row r="2" spans="1:6" ht="4.5" customHeight="1">
      <c r="A2" s="355"/>
      <c r="B2" s="258"/>
      <c r="C2" s="212"/>
      <c r="D2" s="213"/>
      <c r="E2" s="213"/>
      <c r="F2" s="213"/>
    </row>
    <row r="3" spans="1:6" ht="28.5" customHeight="1">
      <c r="A3" s="372" t="s">
        <v>36</v>
      </c>
      <c r="B3" s="217" t="s">
        <v>0</v>
      </c>
      <c r="C3" s="218" t="s">
        <v>3</v>
      </c>
      <c r="D3" s="219" t="s">
        <v>1</v>
      </c>
      <c r="E3" s="220" t="s">
        <v>2</v>
      </c>
      <c r="F3" s="221" t="s">
        <v>163</v>
      </c>
    </row>
    <row r="4" spans="1:6">
      <c r="B4" s="285"/>
      <c r="C4" s="339"/>
      <c r="D4" s="244"/>
      <c r="E4" s="245"/>
      <c r="F4" s="245"/>
    </row>
    <row r="5" spans="1:6" ht="39.75" customHeight="1">
      <c r="B5" s="443" t="s">
        <v>648</v>
      </c>
      <c r="C5" s="443"/>
      <c r="D5" s="443"/>
      <c r="E5" s="443"/>
      <c r="F5" s="443"/>
    </row>
    <row r="6" spans="1:6" ht="11.25" customHeight="1">
      <c r="B6" s="266"/>
      <c r="C6" s="224"/>
      <c r="D6" s="236"/>
      <c r="E6" s="245"/>
      <c r="F6" s="257"/>
    </row>
    <row r="7" spans="1:6" ht="345" customHeight="1">
      <c r="A7" s="232" t="s">
        <v>11</v>
      </c>
      <c r="B7" s="228" t="s">
        <v>650</v>
      </c>
      <c r="C7" s="270"/>
      <c r="D7" s="270"/>
      <c r="E7" s="214"/>
      <c r="F7" s="214"/>
    </row>
    <row r="8" spans="1:6" ht="90.75" customHeight="1">
      <c r="A8" s="232"/>
      <c r="B8" s="228" t="s">
        <v>280</v>
      </c>
      <c r="C8" s="229"/>
      <c r="D8" s="230"/>
      <c r="F8" s="257"/>
    </row>
    <row r="9" spans="1:6" ht="341.25" customHeight="1">
      <c r="A9" s="232"/>
      <c r="B9" s="228" t="s">
        <v>649</v>
      </c>
      <c r="C9" s="229" t="s">
        <v>10</v>
      </c>
      <c r="D9" s="230">
        <v>1</v>
      </c>
      <c r="F9" s="231">
        <f>E9*D9</f>
        <v>0</v>
      </c>
    </row>
    <row r="10" spans="1:6">
      <c r="A10" s="232"/>
      <c r="B10" s="326"/>
      <c r="C10" s="345"/>
      <c r="D10" s="346"/>
      <c r="E10" s="347"/>
      <c r="F10" s="348"/>
    </row>
    <row r="11" spans="1:6">
      <c r="A11" s="238"/>
      <c r="B11" s="239"/>
      <c r="C11" s="306"/>
      <c r="D11" s="225"/>
      <c r="F11" s="278"/>
    </row>
    <row r="12" spans="1:6">
      <c r="B12" s="243" t="s">
        <v>281</v>
      </c>
      <c r="D12" s="244"/>
      <c r="E12" s="245"/>
      <c r="F12" s="246">
        <f>SUM(F6:F10)</f>
        <v>0</v>
      </c>
    </row>
    <row r="14" spans="1:6">
      <c r="B14" s="362"/>
    </row>
    <row r="15" spans="1:6">
      <c r="B15" s="314"/>
    </row>
  </sheetData>
  <sheetProtection algorithmName="SHA-512" hashValue="ZLD8sQB8VJCpodFGjaUR2Jic2QM+awVwwDsZfKcQp6z9FEZkHRFlt/GGu3/m/m4o8VHrMyye7whVo/yaB7LCFg==" saltValue="jW/gb/meugJ4FgXWfGziEQ==" spinCount="100000" sheet="1" objects="1" scenarios="1"/>
  <mergeCells count="1">
    <mergeCell ref="B5:F5"/>
  </mergeCells>
  <pageMargins left="0.98425196850393704" right="0.35433070866141736" top="0.74803149606299213" bottom="0.74803149606299213" header="0.31496062992125984" footer="0.31496062992125984"/>
  <pageSetup paperSize="9" fitToHeight="0" orientation="portrait" r:id="rId1"/>
  <headerFooter alignWithMargins="0">
    <oddHeader>&amp;C&amp;"Arial Narrow,Navadno"&amp;K00-033&amp;F; &amp;A</oddHeader>
    <oddFooter>&amp;C&amp;"Arial Narrow,Navadno"&amp;Y&amp;K00-034&amp;P od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7">
    <tabColor rgb="FFFFFF00"/>
  </sheetPr>
  <dimension ref="A1:H67"/>
  <sheetViews>
    <sheetView view="pageBreakPreview"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24" customWidth="1"/>
    <col min="4" max="4" width="8" style="236" customWidth="1"/>
    <col min="5" max="5" width="10.5703125" style="225" bestFit="1" customWidth="1"/>
    <col min="6" max="6" width="11.5703125" style="267" customWidth="1"/>
    <col min="7" max="16384" width="9.140625" style="214"/>
  </cols>
  <sheetData>
    <row r="1" spans="1:8">
      <c r="A1" s="207" t="s">
        <v>21</v>
      </c>
      <c r="B1" s="208" t="s">
        <v>488</v>
      </c>
      <c r="C1" s="380"/>
      <c r="D1" s="381"/>
      <c r="E1" s="382"/>
      <c r="F1" s="255"/>
    </row>
    <row r="2" spans="1:8" ht="4.5" customHeight="1">
      <c r="A2" s="258"/>
      <c r="B2" s="258"/>
      <c r="C2" s="280"/>
      <c r="D2" s="383"/>
      <c r="E2" s="241"/>
      <c r="F2" s="213"/>
    </row>
    <row r="3" spans="1:8" ht="27.75" customHeight="1">
      <c r="A3" s="216" t="s">
        <v>36</v>
      </c>
      <c r="B3" s="217" t="s">
        <v>0</v>
      </c>
      <c r="C3" s="317" t="s">
        <v>3</v>
      </c>
      <c r="D3" s="384" t="s">
        <v>1</v>
      </c>
      <c r="E3" s="385" t="s">
        <v>2</v>
      </c>
      <c r="F3" s="221" t="s">
        <v>163</v>
      </c>
    </row>
    <row r="4" spans="1:8">
      <c r="A4" s="222"/>
      <c r="B4" s="285"/>
      <c r="F4" s="245"/>
    </row>
    <row r="5" spans="1:8" ht="136.5" customHeight="1">
      <c r="A5" s="222"/>
      <c r="B5" s="442" t="s">
        <v>513</v>
      </c>
      <c r="C5" s="442"/>
      <c r="D5" s="442"/>
      <c r="E5" s="442"/>
      <c r="F5" s="442"/>
    </row>
    <row r="6" spans="1:8">
      <c r="A6" s="222"/>
      <c r="B6" s="266"/>
      <c r="C6" s="266"/>
      <c r="D6" s="266"/>
      <c r="E6" s="386"/>
      <c r="F6" s="257"/>
    </row>
    <row r="7" spans="1:8" ht="200.25" customHeight="1">
      <c r="A7" s="227">
        <f>MAX($A$5:A6)+1</f>
        <v>1</v>
      </c>
      <c r="B7" s="357" t="s">
        <v>809</v>
      </c>
      <c r="C7" s="228"/>
      <c r="D7" s="228"/>
      <c r="E7" s="386"/>
      <c r="F7" s="228"/>
      <c r="H7" s="318"/>
    </row>
    <row r="8" spans="1:8">
      <c r="A8" s="232" t="s">
        <v>586</v>
      </c>
      <c r="B8" s="228" t="s">
        <v>471</v>
      </c>
      <c r="C8" s="229" t="s">
        <v>175</v>
      </c>
      <c r="D8" s="230">
        <v>2</v>
      </c>
      <c r="F8" s="231">
        <f t="shared" ref="F8:F12" si="0">E8*D8</f>
        <v>0</v>
      </c>
      <c r="H8" s="226"/>
    </row>
    <row r="9" spans="1:8">
      <c r="A9" s="329" t="s">
        <v>587</v>
      </c>
      <c r="B9" s="228" t="s">
        <v>472</v>
      </c>
      <c r="C9" s="229" t="s">
        <v>175</v>
      </c>
      <c r="D9" s="230">
        <v>4</v>
      </c>
      <c r="F9" s="231">
        <f t="shared" si="0"/>
        <v>0</v>
      </c>
      <c r="H9" s="226"/>
    </row>
    <row r="10" spans="1:8">
      <c r="A10" s="329" t="s">
        <v>588</v>
      </c>
      <c r="B10" s="228" t="s">
        <v>473</v>
      </c>
      <c r="C10" s="229" t="s">
        <v>175</v>
      </c>
      <c r="D10" s="230">
        <v>1</v>
      </c>
      <c r="F10" s="231">
        <f t="shared" si="0"/>
        <v>0</v>
      </c>
      <c r="H10" s="226"/>
    </row>
    <row r="11" spans="1:8">
      <c r="A11" s="329" t="s">
        <v>589</v>
      </c>
      <c r="B11" s="228" t="s">
        <v>474</v>
      </c>
      <c r="C11" s="229" t="s">
        <v>175</v>
      </c>
      <c r="D11" s="230">
        <v>1</v>
      </c>
      <c r="F11" s="231">
        <f t="shared" si="0"/>
        <v>0</v>
      </c>
      <c r="H11" s="226"/>
    </row>
    <row r="12" spans="1:8">
      <c r="A12" s="329" t="s">
        <v>636</v>
      </c>
      <c r="B12" s="228" t="s">
        <v>475</v>
      </c>
      <c r="C12" s="229" t="s">
        <v>175</v>
      </c>
      <c r="D12" s="230">
        <v>1</v>
      </c>
      <c r="F12" s="231">
        <f t="shared" si="0"/>
        <v>0</v>
      </c>
      <c r="H12" s="226"/>
    </row>
    <row r="13" spans="1:8">
      <c r="A13" s="329" t="s">
        <v>637</v>
      </c>
      <c r="B13" s="228" t="s">
        <v>476</v>
      </c>
      <c r="C13" s="229" t="s">
        <v>175</v>
      </c>
      <c r="D13" s="230">
        <v>2</v>
      </c>
      <c r="F13" s="231">
        <f t="shared" ref="F13" si="1">E13*D13</f>
        <v>0</v>
      </c>
      <c r="H13" s="226"/>
    </row>
    <row r="14" spans="1:8">
      <c r="A14" s="329" t="s">
        <v>638</v>
      </c>
      <c r="B14" s="228" t="s">
        <v>477</v>
      </c>
      <c r="C14" s="229" t="s">
        <v>175</v>
      </c>
      <c r="D14" s="230">
        <v>2</v>
      </c>
      <c r="F14" s="231">
        <f t="shared" ref="F14" si="2">E14*D14</f>
        <v>0</v>
      </c>
      <c r="H14" s="226"/>
    </row>
    <row r="15" spans="1:8">
      <c r="A15" s="329"/>
      <c r="B15" s="228"/>
      <c r="C15" s="229"/>
      <c r="D15" s="230"/>
      <c r="F15" s="231"/>
      <c r="H15" s="226"/>
    </row>
    <row r="16" spans="1:8" ht="64.5" customHeight="1">
      <c r="A16" s="227">
        <f>MAX($A$5:A15)+1</f>
        <v>2</v>
      </c>
      <c r="B16" s="357" t="s">
        <v>612</v>
      </c>
      <c r="C16" s="228"/>
      <c r="D16" s="228"/>
      <c r="F16" s="228"/>
      <c r="H16" s="318"/>
    </row>
    <row r="17" spans="1:8">
      <c r="A17" s="232" t="s">
        <v>586</v>
      </c>
      <c r="B17" s="228" t="s">
        <v>478</v>
      </c>
      <c r="C17" s="229" t="s">
        <v>175</v>
      </c>
      <c r="D17" s="230">
        <v>1</v>
      </c>
      <c r="F17" s="231">
        <f>E17*D17</f>
        <v>0</v>
      </c>
      <c r="H17" s="226"/>
    </row>
    <row r="18" spans="1:8">
      <c r="A18" s="329" t="s">
        <v>587</v>
      </c>
      <c r="B18" s="228" t="s">
        <v>479</v>
      </c>
      <c r="C18" s="229" t="s">
        <v>175</v>
      </c>
      <c r="D18" s="230">
        <v>1</v>
      </c>
      <c r="F18" s="231">
        <f>E18*D18</f>
        <v>0</v>
      </c>
      <c r="H18" s="226"/>
    </row>
    <row r="19" spans="1:8">
      <c r="A19" s="329" t="s">
        <v>588</v>
      </c>
      <c r="B19" s="228" t="s">
        <v>480</v>
      </c>
      <c r="C19" s="229" t="s">
        <v>175</v>
      </c>
      <c r="D19" s="230">
        <v>1</v>
      </c>
      <c r="F19" s="231">
        <f>E19*D19</f>
        <v>0</v>
      </c>
    </row>
    <row r="20" spans="1:8">
      <c r="A20" s="232"/>
      <c r="B20" s="357"/>
      <c r="C20" s="270"/>
      <c r="D20" s="270"/>
      <c r="F20" s="270"/>
    </row>
    <row r="21" spans="1:8" ht="186.75" customHeight="1">
      <c r="A21" s="227">
        <f>MAX($A$5:A20)+1</f>
        <v>3</v>
      </c>
      <c r="B21" s="357" t="s">
        <v>810</v>
      </c>
      <c r="C21" s="228"/>
      <c r="D21" s="230"/>
      <c r="F21" s="231"/>
    </row>
    <row r="22" spans="1:8" ht="25.5">
      <c r="A22" s="232" t="s">
        <v>586</v>
      </c>
      <c r="B22" s="228" t="s">
        <v>481</v>
      </c>
      <c r="C22" s="229" t="s">
        <v>175</v>
      </c>
      <c r="D22" s="230">
        <v>3</v>
      </c>
      <c r="F22" s="231">
        <f>E22*D22</f>
        <v>0</v>
      </c>
      <c r="H22" s="226"/>
    </row>
    <row r="23" spans="1:8" ht="25.5">
      <c r="A23" s="329" t="s">
        <v>587</v>
      </c>
      <c r="B23" s="228" t="s">
        <v>482</v>
      </c>
      <c r="C23" s="229" t="s">
        <v>175</v>
      </c>
      <c r="D23" s="230">
        <v>3</v>
      </c>
      <c r="F23" s="231">
        <f>E23*D23</f>
        <v>0</v>
      </c>
      <c r="H23" s="226"/>
    </row>
    <row r="24" spans="1:8">
      <c r="A24" s="329" t="s">
        <v>588</v>
      </c>
      <c r="B24" s="228" t="s">
        <v>483</v>
      </c>
      <c r="C24" s="229" t="s">
        <v>175</v>
      </c>
      <c r="D24" s="230">
        <v>2</v>
      </c>
      <c r="F24" s="231">
        <f>E24*D24</f>
        <v>0</v>
      </c>
      <c r="H24" s="226"/>
    </row>
    <row r="25" spans="1:8">
      <c r="A25" s="232" t="s">
        <v>589</v>
      </c>
      <c r="B25" s="228" t="s">
        <v>484</v>
      </c>
      <c r="C25" s="229" t="s">
        <v>175</v>
      </c>
      <c r="D25" s="230">
        <v>1</v>
      </c>
      <c r="F25" s="231">
        <f>E25*D25</f>
        <v>0</v>
      </c>
      <c r="H25" s="226"/>
    </row>
    <row r="26" spans="1:8">
      <c r="A26" s="232"/>
      <c r="B26" s="228"/>
      <c r="C26" s="229"/>
      <c r="D26" s="230"/>
      <c r="F26" s="231"/>
      <c r="H26" s="226"/>
    </row>
    <row r="27" spans="1:8" ht="200.25" customHeight="1">
      <c r="A27" s="227">
        <f>MAX($A$5:A26)+1</f>
        <v>4</v>
      </c>
      <c r="B27" s="357" t="s">
        <v>811</v>
      </c>
      <c r="C27" s="229"/>
      <c r="D27" s="230"/>
      <c r="F27" s="231"/>
      <c r="H27" s="226"/>
    </row>
    <row r="28" spans="1:8">
      <c r="A28" s="232" t="s">
        <v>586</v>
      </c>
      <c r="B28" s="228" t="s">
        <v>651</v>
      </c>
      <c r="C28" s="229" t="s">
        <v>175</v>
      </c>
      <c r="D28" s="230">
        <v>1</v>
      </c>
      <c r="F28" s="231">
        <f>E28*D28</f>
        <v>0</v>
      </c>
      <c r="H28" s="226"/>
    </row>
    <row r="29" spans="1:8">
      <c r="A29" s="329" t="s">
        <v>587</v>
      </c>
      <c r="B29" s="228" t="s">
        <v>652</v>
      </c>
      <c r="C29" s="229" t="s">
        <v>175</v>
      </c>
      <c r="D29" s="230">
        <v>1</v>
      </c>
      <c r="F29" s="231">
        <f t="shared" ref="F29" si="3">E29*D29</f>
        <v>0</v>
      </c>
      <c r="H29" s="226"/>
    </row>
    <row r="30" spans="1:8">
      <c r="A30" s="329" t="s">
        <v>588</v>
      </c>
      <c r="B30" s="228" t="s">
        <v>653</v>
      </c>
      <c r="C30" s="229" t="s">
        <v>175</v>
      </c>
      <c r="D30" s="230">
        <v>1</v>
      </c>
      <c r="F30" s="231">
        <f t="shared" ref="F30" si="4">E30*D30</f>
        <v>0</v>
      </c>
      <c r="H30" s="226"/>
    </row>
    <row r="31" spans="1:8">
      <c r="A31" s="232" t="s">
        <v>589</v>
      </c>
      <c r="B31" s="228" t="s">
        <v>654</v>
      </c>
      <c r="C31" s="229" t="s">
        <v>175</v>
      </c>
      <c r="D31" s="230">
        <v>1</v>
      </c>
      <c r="F31" s="231">
        <f t="shared" ref="F31" si="5">E31*D31</f>
        <v>0</v>
      </c>
      <c r="H31" s="226"/>
    </row>
    <row r="32" spans="1:8">
      <c r="A32" s="232" t="s">
        <v>636</v>
      </c>
      <c r="B32" s="228" t="s">
        <v>655</v>
      </c>
      <c r="C32" s="229" t="s">
        <v>175</v>
      </c>
      <c r="D32" s="230">
        <v>1</v>
      </c>
      <c r="F32" s="231">
        <f t="shared" ref="F32" si="6">E32*D32</f>
        <v>0</v>
      </c>
      <c r="H32" s="226"/>
    </row>
    <row r="33" spans="1:8">
      <c r="A33" s="232" t="s">
        <v>637</v>
      </c>
      <c r="B33" s="228" t="s">
        <v>656</v>
      </c>
      <c r="C33" s="229" t="s">
        <v>175</v>
      </c>
      <c r="D33" s="230">
        <v>1</v>
      </c>
      <c r="F33" s="231">
        <f t="shared" ref="F33" si="7">E33*D33</f>
        <v>0</v>
      </c>
      <c r="H33" s="226"/>
    </row>
    <row r="34" spans="1:8">
      <c r="A34" s="270"/>
      <c r="B34" s="270"/>
      <c r="C34" s="229"/>
      <c r="D34" s="230"/>
      <c r="F34" s="278"/>
      <c r="H34" s="226"/>
    </row>
    <row r="35" spans="1:8" ht="252" customHeight="1">
      <c r="A35" s="227">
        <f>MAX($A$5:A34)+1</f>
        <v>5</v>
      </c>
      <c r="B35" s="388" t="s">
        <v>815</v>
      </c>
      <c r="C35" s="228"/>
      <c r="D35" s="228"/>
      <c r="F35" s="231"/>
    </row>
    <row r="36" spans="1:8" ht="25.5">
      <c r="A36" s="232" t="s">
        <v>586</v>
      </c>
      <c r="B36" s="228" t="s">
        <v>814</v>
      </c>
      <c r="C36" s="229" t="s">
        <v>175</v>
      </c>
      <c r="D36" s="230">
        <v>1</v>
      </c>
      <c r="F36" s="231">
        <f t="shared" ref="F36" si="8">E36*D36</f>
        <v>0</v>
      </c>
      <c r="H36" s="226"/>
    </row>
    <row r="37" spans="1:8">
      <c r="A37" s="329" t="s">
        <v>587</v>
      </c>
      <c r="B37" s="228" t="s">
        <v>657</v>
      </c>
      <c r="C37" s="229" t="s">
        <v>175</v>
      </c>
      <c r="D37" s="230">
        <v>2</v>
      </c>
      <c r="F37" s="231">
        <f t="shared" ref="F37" si="9">E37*D37</f>
        <v>0</v>
      </c>
      <c r="H37" s="226"/>
    </row>
    <row r="38" spans="1:8" ht="25.5">
      <c r="A38" s="329" t="s">
        <v>588</v>
      </c>
      <c r="B38" s="228" t="s">
        <v>503</v>
      </c>
      <c r="C38" s="229" t="s">
        <v>175</v>
      </c>
      <c r="D38" s="230">
        <v>1</v>
      </c>
      <c r="F38" s="231">
        <f t="shared" ref="F38:F39" si="10">E38*D38</f>
        <v>0</v>
      </c>
      <c r="H38" s="226"/>
    </row>
    <row r="39" spans="1:8" ht="25.5">
      <c r="A39" s="232" t="s">
        <v>589</v>
      </c>
      <c r="B39" s="228" t="s">
        <v>504</v>
      </c>
      <c r="C39" s="229" t="s">
        <v>175</v>
      </c>
      <c r="D39" s="230">
        <v>1</v>
      </c>
      <c r="F39" s="231">
        <f t="shared" si="10"/>
        <v>0</v>
      </c>
      <c r="H39" s="226"/>
    </row>
    <row r="40" spans="1:8">
      <c r="A40" s="232"/>
      <c r="B40" s="228"/>
      <c r="C40" s="228"/>
      <c r="D40" s="230"/>
      <c r="F40" s="231"/>
      <c r="H40" s="318"/>
    </row>
    <row r="41" spans="1:8" ht="255.75" customHeight="1">
      <c r="A41" s="227">
        <f>MAX($A$5:A40)+1</f>
        <v>6</v>
      </c>
      <c r="B41" s="388" t="s">
        <v>812</v>
      </c>
      <c r="C41" s="228"/>
      <c r="D41" s="228"/>
      <c r="F41" s="231"/>
    </row>
    <row r="42" spans="1:8" ht="25.5">
      <c r="A42" s="232" t="s">
        <v>586</v>
      </c>
      <c r="B42" s="228" t="s">
        <v>505</v>
      </c>
      <c r="C42" s="229" t="s">
        <v>175</v>
      </c>
      <c r="D42" s="230">
        <v>2</v>
      </c>
      <c r="F42" s="231">
        <f t="shared" ref="F42" si="11">E42*D42</f>
        <v>0</v>
      </c>
      <c r="H42" s="226"/>
    </row>
    <row r="43" spans="1:8">
      <c r="A43" s="232"/>
      <c r="B43" s="228"/>
      <c r="C43" s="229"/>
      <c r="D43" s="230"/>
      <c r="F43" s="231"/>
      <c r="H43" s="318"/>
    </row>
    <row r="44" spans="1:8" ht="259.5" customHeight="1">
      <c r="A44" s="227">
        <f>MAX($A$5:A43)+1</f>
        <v>7</v>
      </c>
      <c r="B44" s="357" t="s">
        <v>813</v>
      </c>
      <c r="C44" s="229"/>
      <c r="D44" s="230"/>
      <c r="F44" s="231"/>
      <c r="H44" s="226"/>
    </row>
    <row r="45" spans="1:8">
      <c r="A45" s="232" t="s">
        <v>586</v>
      </c>
      <c r="B45" s="228" t="s">
        <v>485</v>
      </c>
      <c r="C45" s="229" t="s">
        <v>175</v>
      </c>
      <c r="D45" s="230">
        <v>1</v>
      </c>
      <c r="F45" s="231">
        <f t="shared" ref="F45" si="12">E45*D45</f>
        <v>0</v>
      </c>
      <c r="H45" s="226"/>
    </row>
    <row r="46" spans="1:8">
      <c r="A46" s="232" t="s">
        <v>587</v>
      </c>
      <c r="B46" s="228" t="s">
        <v>486</v>
      </c>
      <c r="C46" s="229" t="s">
        <v>175</v>
      </c>
      <c r="D46" s="230">
        <v>1</v>
      </c>
      <c r="F46" s="231">
        <f t="shared" ref="F46" si="13">E46*D46</f>
        <v>0</v>
      </c>
      <c r="H46" s="318"/>
    </row>
    <row r="47" spans="1:8" ht="25.5">
      <c r="A47" s="232" t="s">
        <v>588</v>
      </c>
      <c r="B47" s="228" t="s">
        <v>506</v>
      </c>
      <c r="C47" s="229" t="s">
        <v>175</v>
      </c>
      <c r="D47" s="230">
        <v>1</v>
      </c>
      <c r="F47" s="231">
        <f t="shared" ref="F47" si="14">E47*D47</f>
        <v>0</v>
      </c>
      <c r="H47" s="318"/>
    </row>
    <row r="48" spans="1:8" ht="51.75" customHeight="1">
      <c r="A48" s="232" t="s">
        <v>589</v>
      </c>
      <c r="B48" s="228" t="s">
        <v>693</v>
      </c>
      <c r="C48" s="229" t="s">
        <v>175</v>
      </c>
      <c r="D48" s="230">
        <v>1</v>
      </c>
      <c r="F48" s="231">
        <f t="shared" ref="F48" si="15">E48*D48</f>
        <v>0</v>
      </c>
    </row>
    <row r="49" spans="1:8">
      <c r="A49" s="232"/>
      <c r="B49" s="357"/>
      <c r="C49" s="229"/>
      <c r="D49" s="230"/>
      <c r="F49" s="231"/>
      <c r="H49" s="226"/>
    </row>
    <row r="50" spans="1:8" ht="276" customHeight="1">
      <c r="A50" s="227">
        <f>MAX($A$5:A49)+1</f>
        <v>8</v>
      </c>
      <c r="B50" s="357" t="s">
        <v>490</v>
      </c>
      <c r="C50" s="228"/>
      <c r="D50" s="230"/>
      <c r="F50" s="231"/>
      <c r="H50" s="318"/>
    </row>
    <row r="51" spans="1:8">
      <c r="A51" s="232"/>
      <c r="B51" s="228" t="s">
        <v>487</v>
      </c>
      <c r="C51" s="229" t="s">
        <v>10</v>
      </c>
      <c r="D51" s="230">
        <v>1</v>
      </c>
      <c r="F51" s="231">
        <f t="shared" ref="F51" si="16">E51*D51</f>
        <v>0</v>
      </c>
      <c r="H51" s="318"/>
    </row>
    <row r="52" spans="1:8">
      <c r="A52" s="270"/>
      <c r="B52" s="270"/>
      <c r="C52" s="228"/>
      <c r="D52" s="230"/>
      <c r="F52" s="231"/>
    </row>
    <row r="53" spans="1:8" ht="38.25">
      <c r="A53" s="227">
        <f>MAX($A$5:A52)+1</f>
        <v>9</v>
      </c>
      <c r="B53" s="428" t="s">
        <v>715</v>
      </c>
      <c r="C53" s="229"/>
      <c r="D53" s="230"/>
      <c r="F53" s="278"/>
    </row>
    <row r="54" spans="1:8">
      <c r="A54" s="232" t="s">
        <v>586</v>
      </c>
      <c r="B54" s="228" t="s">
        <v>706</v>
      </c>
      <c r="C54" s="229" t="s">
        <v>10</v>
      </c>
      <c r="D54" s="230">
        <v>2</v>
      </c>
      <c r="F54" s="231">
        <f t="shared" ref="F54" si="17">E54*D54</f>
        <v>0</v>
      </c>
    </row>
    <row r="55" spans="1:8">
      <c r="A55" s="329" t="s">
        <v>587</v>
      </c>
      <c r="B55" s="228" t="s">
        <v>707</v>
      </c>
      <c r="C55" s="229" t="s">
        <v>10</v>
      </c>
      <c r="D55" s="230">
        <v>4</v>
      </c>
      <c r="F55" s="231">
        <f t="shared" ref="F55" si="18">E55*D55</f>
        <v>0</v>
      </c>
      <c r="H55" s="226"/>
    </row>
    <row r="56" spans="1:8">
      <c r="A56" s="329" t="s">
        <v>588</v>
      </c>
      <c r="B56" s="228" t="s">
        <v>705</v>
      </c>
      <c r="C56" s="229" t="s">
        <v>10</v>
      </c>
      <c r="D56" s="230">
        <v>1</v>
      </c>
      <c r="F56" s="231">
        <f t="shared" ref="F56:F58" si="19">E56*D56</f>
        <v>0</v>
      </c>
      <c r="H56" s="226"/>
    </row>
    <row r="57" spans="1:8">
      <c r="A57" s="329" t="s">
        <v>589</v>
      </c>
      <c r="B57" s="228" t="s">
        <v>724</v>
      </c>
      <c r="C57" s="229" t="s">
        <v>10</v>
      </c>
      <c r="D57" s="230">
        <v>1</v>
      </c>
      <c r="F57" s="231">
        <f t="shared" ref="F57" si="20">E57*D57</f>
        <v>0</v>
      </c>
      <c r="H57" s="226"/>
    </row>
    <row r="58" spans="1:8">
      <c r="A58" s="329" t="s">
        <v>636</v>
      </c>
      <c r="B58" s="228" t="s">
        <v>708</v>
      </c>
      <c r="C58" s="229" t="s">
        <v>10</v>
      </c>
      <c r="D58" s="230">
        <v>1</v>
      </c>
      <c r="F58" s="231">
        <f t="shared" si="19"/>
        <v>0</v>
      </c>
      <c r="H58" s="226"/>
    </row>
    <row r="59" spans="1:8">
      <c r="A59" s="232" t="s">
        <v>637</v>
      </c>
      <c r="B59" s="228" t="s">
        <v>709</v>
      </c>
      <c r="C59" s="229" t="s">
        <v>10</v>
      </c>
      <c r="D59" s="230">
        <v>1</v>
      </c>
      <c r="F59" s="231">
        <f t="shared" ref="F59" si="21">E59*D59</f>
        <v>0</v>
      </c>
    </row>
    <row r="60" spans="1:8">
      <c r="A60" s="232" t="s">
        <v>638</v>
      </c>
      <c r="B60" s="228" t="s">
        <v>710</v>
      </c>
      <c r="C60" s="229" t="s">
        <v>10</v>
      </c>
      <c r="D60" s="230">
        <v>1</v>
      </c>
      <c r="F60" s="231">
        <f t="shared" ref="F60" si="22">E60*D60</f>
        <v>0</v>
      </c>
    </row>
    <row r="61" spans="1:8">
      <c r="A61" s="232" t="s">
        <v>665</v>
      </c>
      <c r="B61" s="228" t="s">
        <v>711</v>
      </c>
      <c r="C61" s="229" t="s">
        <v>10</v>
      </c>
      <c r="D61" s="230">
        <v>1</v>
      </c>
      <c r="F61" s="231">
        <f t="shared" ref="F61" si="23">E61*D61</f>
        <v>0</v>
      </c>
    </row>
    <row r="62" spans="1:8">
      <c r="A62" s="232" t="s">
        <v>664</v>
      </c>
      <c r="B62" s="228" t="s">
        <v>712</v>
      </c>
      <c r="C62" s="229" t="s">
        <v>10</v>
      </c>
      <c r="D62" s="230">
        <v>1</v>
      </c>
      <c r="F62" s="231">
        <f t="shared" ref="F62" si="24">E62*D62</f>
        <v>0</v>
      </c>
    </row>
    <row r="63" spans="1:8">
      <c r="A63" s="429" t="s">
        <v>666</v>
      </c>
      <c r="B63" s="228" t="s">
        <v>713</v>
      </c>
      <c r="C63" s="229" t="s">
        <v>10</v>
      </c>
      <c r="D63" s="230">
        <v>1</v>
      </c>
      <c r="F63" s="231">
        <f t="shared" ref="F63:F64" si="25">E63*D63</f>
        <v>0</v>
      </c>
    </row>
    <row r="64" spans="1:8">
      <c r="A64" s="232" t="s">
        <v>667</v>
      </c>
      <c r="B64" s="228" t="s">
        <v>714</v>
      </c>
      <c r="C64" s="229" t="s">
        <v>10</v>
      </c>
      <c r="D64" s="230">
        <v>1</v>
      </c>
      <c r="F64" s="231">
        <f t="shared" si="25"/>
        <v>0</v>
      </c>
    </row>
    <row r="65" spans="1:6">
      <c r="A65" s="387"/>
      <c r="B65" s="223"/>
      <c r="F65" s="278"/>
    </row>
    <row r="66" spans="1:6">
      <c r="B66" s="239"/>
      <c r="C66" s="280"/>
      <c r="D66" s="383"/>
      <c r="E66" s="241"/>
      <c r="F66" s="242"/>
    </row>
    <row r="67" spans="1:6" ht="13.5">
      <c r="B67" s="243" t="s">
        <v>489</v>
      </c>
      <c r="F67" s="359">
        <f>SUM(F6:F64)</f>
        <v>0</v>
      </c>
    </row>
  </sheetData>
  <sheetProtection algorithmName="SHA-512" hashValue="Na1LlrixvVwCO7kG/jA8vdP99c2YyveSVfXEWEnJOk5g9rHxaI9yvMR0APAa94rWMOdS4HYYuQJvyzs/51C2Sg==" saltValue="8OvP95rRiwmi5NaHCR+t9A=="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8">
    <tabColor rgb="FFFFFF00"/>
  </sheetPr>
  <dimension ref="A1:H82"/>
  <sheetViews>
    <sheetView view="pageBreakPreview" topLeftCell="A64"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24" customWidth="1"/>
    <col min="4" max="4" width="8" style="236" customWidth="1"/>
    <col min="5" max="5" width="10.5703125" style="225" bestFit="1" customWidth="1"/>
    <col min="6" max="6" width="11.5703125" style="267" customWidth="1"/>
    <col min="7" max="16384" width="9.140625" style="214"/>
  </cols>
  <sheetData>
    <row r="1" spans="1:8">
      <c r="A1" s="207" t="s">
        <v>29</v>
      </c>
      <c r="B1" s="208" t="s">
        <v>28</v>
      </c>
      <c r="C1" s="380"/>
      <c r="D1" s="381"/>
      <c r="E1" s="382"/>
      <c r="F1" s="255"/>
    </row>
    <row r="2" spans="1:8" ht="4.5" customHeight="1">
      <c r="A2" s="258"/>
      <c r="B2" s="258"/>
      <c r="C2" s="280"/>
      <c r="D2" s="383"/>
      <c r="E2" s="241"/>
      <c r="F2" s="213"/>
    </row>
    <row r="3" spans="1:8" ht="27.75" customHeight="1">
      <c r="A3" s="216" t="s">
        <v>36</v>
      </c>
      <c r="B3" s="217" t="s">
        <v>0</v>
      </c>
      <c r="C3" s="317" t="s">
        <v>3</v>
      </c>
      <c r="D3" s="384" t="s">
        <v>1</v>
      </c>
      <c r="E3" s="385" t="s">
        <v>2</v>
      </c>
      <c r="F3" s="221" t="s">
        <v>163</v>
      </c>
    </row>
    <row r="4" spans="1:8">
      <c r="A4" s="222"/>
      <c r="B4" s="285"/>
      <c r="F4" s="245"/>
    </row>
    <row r="5" spans="1:8" ht="136.5" customHeight="1">
      <c r="A5" s="222"/>
      <c r="B5" s="442" t="s">
        <v>514</v>
      </c>
      <c r="C5" s="442"/>
      <c r="D5" s="442"/>
      <c r="E5" s="442"/>
      <c r="F5" s="442"/>
    </row>
    <row r="6" spans="1:8">
      <c r="A6" s="222"/>
      <c r="B6" s="266"/>
      <c r="C6" s="266"/>
      <c r="D6" s="266"/>
      <c r="E6" s="386"/>
      <c r="F6" s="257"/>
    </row>
    <row r="7" spans="1:8" ht="104.25" customHeight="1">
      <c r="A7" s="227">
        <f>MAX($A$5:A6)+1</f>
        <v>1</v>
      </c>
      <c r="B7" s="357" t="s">
        <v>492</v>
      </c>
      <c r="C7" s="228"/>
      <c r="D7" s="228"/>
      <c r="E7" s="386"/>
      <c r="F7" s="228"/>
      <c r="H7" s="318"/>
    </row>
    <row r="8" spans="1:8">
      <c r="A8" s="232"/>
      <c r="B8" s="228" t="s">
        <v>491</v>
      </c>
      <c r="C8" s="229" t="s">
        <v>175</v>
      </c>
      <c r="D8" s="230">
        <v>1</v>
      </c>
      <c r="F8" s="231">
        <f>E8*D8</f>
        <v>0</v>
      </c>
      <c r="H8" s="226"/>
    </row>
    <row r="9" spans="1:8">
      <c r="A9" s="329"/>
      <c r="B9" s="228"/>
      <c r="C9" s="229"/>
      <c r="D9" s="230"/>
      <c r="F9" s="231"/>
      <c r="H9" s="226"/>
    </row>
    <row r="10" spans="1:8" ht="121.5" customHeight="1">
      <c r="A10" s="227">
        <f>MAX($A$5:A9)+1</f>
        <v>2</v>
      </c>
      <c r="B10" s="357" t="s">
        <v>496</v>
      </c>
      <c r="C10" s="228"/>
      <c r="D10" s="228"/>
      <c r="F10" s="228"/>
      <c r="H10" s="318"/>
    </row>
    <row r="11" spans="1:8">
      <c r="A11" s="232" t="s">
        <v>586</v>
      </c>
      <c r="B11" s="228" t="s">
        <v>493</v>
      </c>
      <c r="C11" s="229" t="s">
        <v>175</v>
      </c>
      <c r="D11" s="230">
        <v>1</v>
      </c>
      <c r="F11" s="231">
        <f>E11*D11</f>
        <v>0</v>
      </c>
      <c r="H11" s="226"/>
    </row>
    <row r="12" spans="1:8">
      <c r="A12" s="232" t="s">
        <v>587</v>
      </c>
      <c r="B12" s="228" t="s">
        <v>494</v>
      </c>
      <c r="C12" s="229" t="s">
        <v>175</v>
      </c>
      <c r="D12" s="230">
        <v>9</v>
      </c>
      <c r="F12" s="231">
        <f>E12*D12</f>
        <v>0</v>
      </c>
      <c r="H12" s="226"/>
    </row>
    <row r="13" spans="1:8">
      <c r="A13" s="232" t="s">
        <v>588</v>
      </c>
      <c r="B13" s="228" t="s">
        <v>495</v>
      </c>
      <c r="C13" s="229" t="s">
        <v>175</v>
      </c>
      <c r="D13" s="230">
        <v>4</v>
      </c>
      <c r="F13" s="231">
        <f>E13*D13</f>
        <v>0</v>
      </c>
      <c r="H13" s="226"/>
    </row>
    <row r="14" spans="1:8">
      <c r="A14" s="329"/>
      <c r="B14" s="228"/>
      <c r="C14" s="229"/>
      <c r="D14" s="230"/>
      <c r="F14" s="231"/>
      <c r="H14" s="226"/>
    </row>
    <row r="15" spans="1:8" ht="120.75" customHeight="1">
      <c r="A15" s="227">
        <f>MAX($A$5:A14)+1</f>
        <v>3</v>
      </c>
      <c r="B15" s="357" t="s">
        <v>507</v>
      </c>
      <c r="C15" s="228"/>
      <c r="D15" s="228"/>
      <c r="F15" s="228"/>
      <c r="H15" s="318"/>
    </row>
    <row r="16" spans="1:8">
      <c r="A16" s="232" t="s">
        <v>586</v>
      </c>
      <c r="B16" s="228" t="s">
        <v>508</v>
      </c>
      <c r="C16" s="229" t="s">
        <v>175</v>
      </c>
      <c r="D16" s="230">
        <v>1</v>
      </c>
      <c r="F16" s="231">
        <f>E16*D16</f>
        <v>0</v>
      </c>
      <c r="H16" s="226"/>
    </row>
    <row r="17" spans="1:8">
      <c r="A17" s="232" t="s">
        <v>587</v>
      </c>
      <c r="B17" s="228" t="s">
        <v>509</v>
      </c>
      <c r="C17" s="229" t="s">
        <v>175</v>
      </c>
      <c r="D17" s="230">
        <v>1</v>
      </c>
      <c r="F17" s="231">
        <f>E17*D17</f>
        <v>0</v>
      </c>
      <c r="H17" s="226"/>
    </row>
    <row r="18" spans="1:8">
      <c r="A18" s="329"/>
      <c r="B18" s="228"/>
      <c r="C18" s="229"/>
      <c r="D18" s="230"/>
      <c r="F18" s="231"/>
      <c r="H18" s="226"/>
    </row>
    <row r="19" spans="1:8" ht="141.75" customHeight="1">
      <c r="A19" s="227">
        <f>MAX($A$5:A18)+1</f>
        <v>4</v>
      </c>
      <c r="B19" s="357" t="s">
        <v>498</v>
      </c>
      <c r="C19" s="228"/>
      <c r="D19" s="228"/>
      <c r="F19" s="228"/>
      <c r="H19" s="318"/>
    </row>
    <row r="20" spans="1:8">
      <c r="A20" s="232" t="s">
        <v>586</v>
      </c>
      <c r="B20" s="228" t="s">
        <v>499</v>
      </c>
      <c r="C20" s="229" t="s">
        <v>175</v>
      </c>
      <c r="D20" s="230">
        <v>3</v>
      </c>
      <c r="F20" s="231">
        <f>E20*D20</f>
        <v>0</v>
      </c>
      <c r="H20" s="226"/>
    </row>
    <row r="21" spans="1:8" ht="38.25">
      <c r="A21" s="329" t="s">
        <v>587</v>
      </c>
      <c r="B21" s="228" t="s">
        <v>512</v>
      </c>
      <c r="C21" s="229" t="s">
        <v>175</v>
      </c>
      <c r="D21" s="230">
        <v>9</v>
      </c>
      <c r="F21" s="231">
        <f>E21*D21</f>
        <v>0</v>
      </c>
      <c r="G21" s="214" t="s">
        <v>497</v>
      </c>
      <c r="H21" s="226"/>
    </row>
    <row r="22" spans="1:8">
      <c r="A22" s="232"/>
      <c r="B22" s="357"/>
      <c r="C22" s="228"/>
      <c r="D22" s="228"/>
      <c r="F22" s="228"/>
      <c r="H22" s="318"/>
    </row>
    <row r="23" spans="1:8" ht="121.5" customHeight="1">
      <c r="A23" s="227">
        <f>MAX($A$5:A22)+1</f>
        <v>5</v>
      </c>
      <c r="B23" s="357" t="s">
        <v>511</v>
      </c>
      <c r="C23" s="228"/>
      <c r="D23" s="228"/>
      <c r="F23" s="228"/>
      <c r="H23" s="318"/>
    </row>
    <row r="24" spans="1:8" ht="38.25">
      <c r="A24" s="329"/>
      <c r="B24" s="228" t="s">
        <v>510</v>
      </c>
      <c r="C24" s="229" t="s">
        <v>175</v>
      </c>
      <c r="D24" s="230">
        <v>2</v>
      </c>
      <c r="F24" s="231">
        <f>E24*D24</f>
        <v>0</v>
      </c>
      <c r="H24" s="226"/>
    </row>
    <row r="25" spans="1:8">
      <c r="A25" s="232"/>
      <c r="B25" s="228"/>
      <c r="C25" s="229"/>
      <c r="D25" s="230"/>
      <c r="F25" s="231"/>
    </row>
    <row r="26" spans="1:8" ht="144.75" customHeight="1">
      <c r="A26" s="227">
        <f>MAX($A$5:A25)+1</f>
        <v>6</v>
      </c>
      <c r="B26" s="357" t="s">
        <v>716</v>
      </c>
      <c r="C26" s="228"/>
      <c r="D26" s="228"/>
      <c r="F26" s="228"/>
      <c r="H26" s="318"/>
    </row>
    <row r="27" spans="1:8">
      <c r="A27" s="232" t="s">
        <v>586</v>
      </c>
      <c r="B27" s="228" t="s">
        <v>500</v>
      </c>
      <c r="C27" s="229" t="s">
        <v>175</v>
      </c>
      <c r="D27" s="230">
        <v>3</v>
      </c>
      <c r="F27" s="231">
        <f>E27*D27</f>
        <v>0</v>
      </c>
      <c r="H27" s="226"/>
    </row>
    <row r="28" spans="1:8">
      <c r="A28" s="232" t="s">
        <v>587</v>
      </c>
      <c r="B28" s="228" t="s">
        <v>501</v>
      </c>
      <c r="C28" s="229" t="s">
        <v>175</v>
      </c>
      <c r="D28" s="230">
        <v>5</v>
      </c>
      <c r="F28" s="231">
        <f>E28*D28</f>
        <v>0</v>
      </c>
      <c r="H28" s="226"/>
    </row>
    <row r="29" spans="1:8">
      <c r="A29" s="232"/>
      <c r="B29" s="228"/>
      <c r="C29" s="229"/>
      <c r="D29" s="230"/>
      <c r="F29" s="231"/>
      <c r="H29" s="226"/>
    </row>
    <row r="30" spans="1:8" ht="134.25" customHeight="1">
      <c r="A30" s="227">
        <f>MAX($A$5:A29)+1</f>
        <v>7</v>
      </c>
      <c r="B30" s="357" t="s">
        <v>717</v>
      </c>
      <c r="C30" s="228"/>
      <c r="D30" s="228"/>
      <c r="F30" s="228"/>
      <c r="H30" s="318"/>
    </row>
    <row r="31" spans="1:8">
      <c r="A31" s="232"/>
      <c r="B31" s="228" t="s">
        <v>502</v>
      </c>
      <c r="C31" s="229" t="s">
        <v>175</v>
      </c>
      <c r="D31" s="230">
        <v>1</v>
      </c>
      <c r="F31" s="231">
        <f>E31*D31</f>
        <v>0</v>
      </c>
      <c r="H31" s="226"/>
    </row>
    <row r="32" spans="1:8">
      <c r="A32" s="232"/>
      <c r="B32" s="228"/>
      <c r="C32" s="229"/>
      <c r="D32" s="230"/>
      <c r="F32" s="231"/>
      <c r="H32" s="226"/>
    </row>
    <row r="33" spans="1:8" ht="130.5" customHeight="1">
      <c r="A33" s="227">
        <f>MAX($A$5:A32)+1</f>
        <v>8</v>
      </c>
      <c r="B33" s="357" t="s">
        <v>718</v>
      </c>
      <c r="C33" s="228"/>
      <c r="D33" s="228"/>
      <c r="F33" s="228"/>
      <c r="H33" s="318"/>
    </row>
    <row r="34" spans="1:8">
      <c r="A34" s="232"/>
      <c r="B34" s="228" t="s">
        <v>520</v>
      </c>
      <c r="C34" s="229" t="s">
        <v>175</v>
      </c>
      <c r="D34" s="230">
        <v>1</v>
      </c>
      <c r="F34" s="231">
        <f>E34*D34</f>
        <v>0</v>
      </c>
      <c r="H34" s="226"/>
    </row>
    <row r="35" spans="1:8">
      <c r="A35" s="232"/>
      <c r="B35" s="228"/>
      <c r="C35" s="229"/>
      <c r="D35" s="230"/>
      <c r="F35" s="231"/>
      <c r="H35" s="226"/>
    </row>
    <row r="36" spans="1:8" ht="210" customHeight="1">
      <c r="A36" s="227">
        <f>MAX($A$5:A35)+1</f>
        <v>9</v>
      </c>
      <c r="B36" s="357" t="s">
        <v>719</v>
      </c>
      <c r="C36" s="228"/>
      <c r="D36" s="228"/>
      <c r="F36" s="228"/>
      <c r="H36" s="318"/>
    </row>
    <row r="37" spans="1:8">
      <c r="A37" s="232"/>
      <c r="B37" s="228" t="s">
        <v>518</v>
      </c>
      <c r="C37" s="229" t="s">
        <v>175</v>
      </c>
      <c r="D37" s="230">
        <v>5</v>
      </c>
      <c r="F37" s="231">
        <f>E37*D37</f>
        <v>0</v>
      </c>
      <c r="H37" s="226"/>
    </row>
    <row r="38" spans="1:8">
      <c r="A38" s="232"/>
      <c r="B38" s="228"/>
      <c r="C38" s="229"/>
      <c r="D38" s="230"/>
      <c r="F38" s="231"/>
      <c r="H38" s="226"/>
    </row>
    <row r="39" spans="1:8" ht="145.5" customHeight="1">
      <c r="A39" s="227">
        <f>MAX($A$5:A38)+1</f>
        <v>10</v>
      </c>
      <c r="B39" s="357" t="s">
        <v>720</v>
      </c>
      <c r="C39" s="228"/>
      <c r="D39" s="228"/>
      <c r="F39" s="228"/>
      <c r="H39" s="226"/>
    </row>
    <row r="40" spans="1:8" ht="25.5">
      <c r="A40" s="232" t="s">
        <v>586</v>
      </c>
      <c r="B40" s="228" t="s">
        <v>517</v>
      </c>
      <c r="C40" s="229" t="s">
        <v>175</v>
      </c>
      <c r="D40" s="230">
        <v>1</v>
      </c>
      <c r="F40" s="231">
        <f>E40*D40</f>
        <v>0</v>
      </c>
      <c r="H40" s="226"/>
    </row>
    <row r="41" spans="1:8">
      <c r="A41" s="232" t="s">
        <v>587</v>
      </c>
      <c r="B41" s="228" t="s">
        <v>516</v>
      </c>
      <c r="C41" s="229" t="s">
        <v>175</v>
      </c>
      <c r="D41" s="230">
        <v>1</v>
      </c>
      <c r="F41" s="231">
        <f>E41*D41</f>
        <v>0</v>
      </c>
      <c r="H41" s="226"/>
    </row>
    <row r="42" spans="1:8">
      <c r="A42" s="232"/>
      <c r="B42" s="228"/>
      <c r="C42" s="229"/>
      <c r="D42" s="230"/>
      <c r="F42" s="231"/>
      <c r="H42" s="226"/>
    </row>
    <row r="43" spans="1:8" ht="144" customHeight="1">
      <c r="A43" s="227">
        <f>MAX($A$5:A42)+1</f>
        <v>11</v>
      </c>
      <c r="B43" s="357" t="s">
        <v>721</v>
      </c>
      <c r="C43" s="228"/>
      <c r="D43" s="228"/>
      <c r="F43" s="228"/>
      <c r="H43" s="318"/>
    </row>
    <row r="44" spans="1:8">
      <c r="A44" s="232" t="s">
        <v>586</v>
      </c>
      <c r="B44" s="228" t="s">
        <v>515</v>
      </c>
      <c r="C44" s="229" t="s">
        <v>175</v>
      </c>
      <c r="D44" s="230">
        <v>1</v>
      </c>
      <c r="F44" s="231">
        <f>E44*D44</f>
        <v>0</v>
      </c>
      <c r="H44" s="226"/>
    </row>
    <row r="45" spans="1:8">
      <c r="A45" s="232" t="s">
        <v>587</v>
      </c>
      <c r="B45" s="228" t="s">
        <v>519</v>
      </c>
      <c r="C45" s="229" t="s">
        <v>175</v>
      </c>
      <c r="D45" s="230">
        <v>1</v>
      </c>
      <c r="F45" s="231">
        <f>E45*D45</f>
        <v>0</v>
      </c>
      <c r="H45" s="226"/>
    </row>
    <row r="46" spans="1:8">
      <c r="A46" s="270"/>
      <c r="B46" s="270"/>
      <c r="C46" s="229"/>
      <c r="D46" s="230"/>
      <c r="F46" s="278"/>
      <c r="H46" s="226"/>
    </row>
    <row r="47" spans="1:8" ht="133.5" customHeight="1">
      <c r="A47" s="227">
        <f>MAX($A$5:A46)+1</f>
        <v>12</v>
      </c>
      <c r="B47" s="357" t="s">
        <v>722</v>
      </c>
      <c r="C47" s="228"/>
      <c r="D47" s="228"/>
      <c r="F47" s="228"/>
    </row>
    <row r="48" spans="1:8" ht="38.25">
      <c r="A48" s="232" t="s">
        <v>586</v>
      </c>
      <c r="B48" s="228" t="s">
        <v>658</v>
      </c>
      <c r="C48" s="229" t="s">
        <v>175</v>
      </c>
      <c r="D48" s="230">
        <v>1</v>
      </c>
      <c r="F48" s="231">
        <f>E48*D48</f>
        <v>0</v>
      </c>
      <c r="H48" s="226"/>
    </row>
    <row r="49" spans="1:8">
      <c r="A49" s="232" t="s">
        <v>587</v>
      </c>
      <c r="B49" s="228" t="s">
        <v>521</v>
      </c>
      <c r="C49" s="229" t="s">
        <v>175</v>
      </c>
      <c r="D49" s="230">
        <v>1</v>
      </c>
      <c r="F49" s="231">
        <f>E49*D49</f>
        <v>0</v>
      </c>
      <c r="H49" s="226"/>
    </row>
    <row r="50" spans="1:8">
      <c r="A50" s="232"/>
      <c r="B50" s="228"/>
      <c r="C50" s="229"/>
      <c r="D50" s="230"/>
      <c r="F50" s="231"/>
      <c r="H50" s="226"/>
    </row>
    <row r="51" spans="1:8" ht="159" customHeight="1">
      <c r="A51" s="227">
        <f>MAX($A$5:A50)+1</f>
        <v>13</v>
      </c>
      <c r="B51" s="357" t="s">
        <v>723</v>
      </c>
      <c r="C51" s="229"/>
      <c r="D51" s="230"/>
      <c r="F51" s="231"/>
      <c r="H51" s="226"/>
    </row>
    <row r="52" spans="1:8">
      <c r="A52" s="232" t="s">
        <v>586</v>
      </c>
      <c r="B52" s="228" t="s">
        <v>659</v>
      </c>
      <c r="C52" s="229" t="s">
        <v>175</v>
      </c>
      <c r="D52" s="230">
        <v>1</v>
      </c>
      <c r="F52" s="231">
        <f>E52*D52</f>
        <v>0</v>
      </c>
      <c r="H52" s="226"/>
    </row>
    <row r="53" spans="1:8">
      <c r="A53" s="232" t="s">
        <v>587</v>
      </c>
      <c r="B53" s="228" t="s">
        <v>660</v>
      </c>
      <c r="C53" s="229" t="s">
        <v>175</v>
      </c>
      <c r="D53" s="230">
        <v>1</v>
      </c>
      <c r="F53" s="231">
        <f>E53*D53</f>
        <v>0</v>
      </c>
      <c r="H53" s="226"/>
    </row>
    <row r="54" spans="1:8">
      <c r="A54" s="232"/>
      <c r="B54" s="228"/>
      <c r="C54" s="228"/>
      <c r="D54" s="230"/>
      <c r="F54" s="231"/>
      <c r="H54" s="318"/>
    </row>
    <row r="55" spans="1:8" ht="116.25" customHeight="1">
      <c r="A55" s="227">
        <f>MAX($A$5:A54)+1</f>
        <v>14</v>
      </c>
      <c r="B55" s="357" t="s">
        <v>694</v>
      </c>
      <c r="C55" s="228"/>
      <c r="D55" s="228"/>
      <c r="F55" s="228"/>
      <c r="H55" s="318"/>
    </row>
    <row r="56" spans="1:8">
      <c r="A56" s="232"/>
      <c r="B56" s="228" t="s">
        <v>522</v>
      </c>
      <c r="C56" s="229" t="s">
        <v>175</v>
      </c>
      <c r="D56" s="230">
        <v>3</v>
      </c>
      <c r="F56" s="231">
        <f>E56*D56</f>
        <v>0</v>
      </c>
      <c r="H56" s="226"/>
    </row>
    <row r="57" spans="1:8">
      <c r="A57" s="232"/>
      <c r="B57" s="228"/>
      <c r="C57" s="229"/>
      <c r="D57" s="230"/>
      <c r="F57" s="231"/>
      <c r="H57" s="318"/>
    </row>
    <row r="58" spans="1:8" ht="97.5" customHeight="1">
      <c r="A58" s="227">
        <f>MAX($A$5:A57)+1</f>
        <v>15</v>
      </c>
      <c r="B58" s="357" t="s">
        <v>523</v>
      </c>
      <c r="C58" s="228"/>
      <c r="D58" s="228"/>
      <c r="F58" s="228"/>
      <c r="H58" s="318"/>
    </row>
    <row r="59" spans="1:8">
      <c r="A59" s="232"/>
      <c r="B59" s="228" t="s">
        <v>524</v>
      </c>
      <c r="C59" s="229" t="s">
        <v>175</v>
      </c>
      <c r="D59" s="230">
        <v>3</v>
      </c>
      <c r="F59" s="231">
        <f>E59*D59</f>
        <v>0</v>
      </c>
      <c r="H59" s="226"/>
    </row>
    <row r="60" spans="1:8">
      <c r="A60" s="232"/>
      <c r="B60" s="228"/>
      <c r="C60" s="229"/>
      <c r="D60" s="230"/>
      <c r="F60" s="231"/>
      <c r="H60" s="318"/>
    </row>
    <row r="61" spans="1:8" ht="229.5" customHeight="1">
      <c r="A61" s="227">
        <f>MAX($A$5:A60)+1</f>
        <v>16</v>
      </c>
      <c r="B61" s="357" t="s">
        <v>548</v>
      </c>
      <c r="C61" s="214"/>
      <c r="D61" s="214"/>
      <c r="F61" s="214"/>
      <c r="H61" s="318"/>
    </row>
    <row r="62" spans="1:8">
      <c r="A62" s="232" t="s">
        <v>586</v>
      </c>
      <c r="B62" s="228" t="s">
        <v>546</v>
      </c>
      <c r="C62" s="229" t="s">
        <v>175</v>
      </c>
      <c r="D62" s="230">
        <v>2</v>
      </c>
      <c r="F62" s="231">
        <f>E62*D62</f>
        <v>0</v>
      </c>
      <c r="H62" s="318"/>
    </row>
    <row r="63" spans="1:8">
      <c r="A63" s="232" t="s">
        <v>587</v>
      </c>
      <c r="B63" s="228" t="s">
        <v>547</v>
      </c>
      <c r="C63" s="229" t="s">
        <v>175</v>
      </c>
      <c r="D63" s="230">
        <v>4</v>
      </c>
      <c r="F63" s="231">
        <f>E63*D63</f>
        <v>0</v>
      </c>
      <c r="H63" s="318"/>
    </row>
    <row r="64" spans="1:8" s="215" customFormat="1">
      <c r="A64" s="370"/>
      <c r="B64" s="283"/>
      <c r="C64" s="288"/>
      <c r="D64" s="289"/>
      <c r="E64" s="225"/>
      <c r="F64" s="315"/>
    </row>
    <row r="65" spans="1:8" ht="210" customHeight="1">
      <c r="A65" s="227">
        <f>MAX($A$5:A64)+1</f>
        <v>17</v>
      </c>
      <c r="B65" s="357" t="s">
        <v>550</v>
      </c>
      <c r="C65" s="229"/>
      <c r="D65" s="230"/>
      <c r="F65" s="231"/>
      <c r="H65" s="226"/>
    </row>
    <row r="66" spans="1:8">
      <c r="A66" s="232" t="s">
        <v>586</v>
      </c>
      <c r="B66" s="228" t="s">
        <v>549</v>
      </c>
      <c r="C66" s="229" t="s">
        <v>175</v>
      </c>
      <c r="D66" s="230">
        <v>2</v>
      </c>
      <c r="F66" s="231">
        <f>E66*D66</f>
        <v>0</v>
      </c>
      <c r="H66" s="318"/>
    </row>
    <row r="67" spans="1:8">
      <c r="A67" s="232" t="s">
        <v>587</v>
      </c>
      <c r="B67" s="228" t="s">
        <v>551</v>
      </c>
      <c r="C67" s="229" t="s">
        <v>175</v>
      </c>
      <c r="D67" s="230">
        <v>1</v>
      </c>
      <c r="F67" s="231">
        <f t="shared" ref="F67" si="0">E67*D67</f>
        <v>0</v>
      </c>
      <c r="H67" s="318"/>
    </row>
    <row r="68" spans="1:8">
      <c r="A68" s="429" t="s">
        <v>588</v>
      </c>
      <c r="B68" s="228" t="s">
        <v>552</v>
      </c>
      <c r="C68" s="229" t="s">
        <v>175</v>
      </c>
      <c r="D68" s="230">
        <v>1</v>
      </c>
      <c r="F68" s="231">
        <f t="shared" ref="F68" si="1">E68*D68</f>
        <v>0</v>
      </c>
    </row>
    <row r="69" spans="1:8">
      <c r="A69" s="429" t="s">
        <v>589</v>
      </c>
      <c r="B69" s="228" t="s">
        <v>553</v>
      </c>
      <c r="C69" s="229" t="s">
        <v>175</v>
      </c>
      <c r="D69" s="230">
        <v>1</v>
      </c>
      <c r="F69" s="231">
        <f t="shared" ref="F69" si="2">E69*D69</f>
        <v>0</v>
      </c>
    </row>
    <row r="70" spans="1:8" ht="25.5">
      <c r="A70" s="329" t="s">
        <v>636</v>
      </c>
      <c r="B70" s="228" t="s">
        <v>554</v>
      </c>
      <c r="C70" s="229" t="s">
        <v>175</v>
      </c>
      <c r="D70" s="230">
        <v>1</v>
      </c>
      <c r="F70" s="231">
        <f t="shared" ref="F70" si="3">E70*D70</f>
        <v>0</v>
      </c>
      <c r="H70" s="226"/>
    </row>
    <row r="71" spans="1:8">
      <c r="A71" s="232"/>
      <c r="B71" s="228"/>
      <c r="C71" s="270"/>
      <c r="D71" s="270"/>
      <c r="F71" s="270"/>
    </row>
    <row r="72" spans="1:8" ht="212.25" customHeight="1">
      <c r="A72" s="227">
        <f>MAX($A$5:A71)+1</f>
        <v>18</v>
      </c>
      <c r="B72" s="357" t="s">
        <v>563</v>
      </c>
      <c r="C72" s="229"/>
      <c r="D72" s="230"/>
      <c r="F72" s="231"/>
    </row>
    <row r="73" spans="1:8">
      <c r="A73" s="232" t="s">
        <v>586</v>
      </c>
      <c r="B73" s="228" t="s">
        <v>561</v>
      </c>
      <c r="C73" s="229" t="s">
        <v>175</v>
      </c>
      <c r="D73" s="230">
        <v>1</v>
      </c>
      <c r="F73" s="231">
        <f t="shared" ref="F73" si="4">E73*D73</f>
        <v>0</v>
      </c>
    </row>
    <row r="74" spans="1:8">
      <c r="A74" s="232" t="s">
        <v>587</v>
      </c>
      <c r="B74" s="228" t="s">
        <v>562</v>
      </c>
      <c r="C74" s="229" t="s">
        <v>175</v>
      </c>
      <c r="D74" s="230">
        <v>1</v>
      </c>
      <c r="F74" s="231">
        <f t="shared" ref="F74" si="5">E74*D74</f>
        <v>0</v>
      </c>
    </row>
    <row r="75" spans="1:8" ht="25.5">
      <c r="A75" s="232" t="s">
        <v>588</v>
      </c>
      <c r="B75" s="228" t="s">
        <v>555</v>
      </c>
      <c r="C75" s="229" t="s">
        <v>175</v>
      </c>
      <c r="D75" s="230">
        <v>2</v>
      </c>
      <c r="F75" s="231">
        <f t="shared" ref="F75" si="6">E75*D75</f>
        <v>0</v>
      </c>
    </row>
    <row r="76" spans="1:8">
      <c r="A76" s="232"/>
      <c r="B76" s="228"/>
      <c r="C76" s="270"/>
      <c r="D76" s="270"/>
      <c r="F76" s="270"/>
    </row>
    <row r="77" spans="1:8" ht="89.25">
      <c r="A77" s="227">
        <f>MAX($A$5:A76)+1</f>
        <v>19</v>
      </c>
      <c r="B77" s="326" t="s">
        <v>695</v>
      </c>
      <c r="C77" s="214"/>
      <c r="D77" s="214"/>
      <c r="F77" s="214"/>
    </row>
    <row r="78" spans="1:8">
      <c r="A78" s="232" t="s">
        <v>586</v>
      </c>
      <c r="B78" s="228" t="s">
        <v>696</v>
      </c>
      <c r="C78" s="229" t="s">
        <v>662</v>
      </c>
      <c r="D78" s="420">
        <f>1.3+2+2.3+0.5+0.6+0.6+1.8+1.4+1.6+0.8+0.7+9.4+7.8+2.7+3.5+3.3+3.7+0.7+0.4+0.4+4.5</f>
        <v>50</v>
      </c>
      <c r="F78" s="231">
        <f t="shared" ref="F78" si="7">E78*D78</f>
        <v>0</v>
      </c>
    </row>
    <row r="79" spans="1:8">
      <c r="A79" s="232" t="s">
        <v>587</v>
      </c>
      <c r="B79" s="228" t="s">
        <v>697</v>
      </c>
      <c r="C79" s="229" t="s">
        <v>662</v>
      </c>
      <c r="D79" s="420">
        <f>3.6+2.9+3.2+2.4+2.3+3.8+4.8+3.7+8.7+11+9.2+7.4+0.41*(10.5+6.9+12)+0.95</f>
        <v>76.003999999999991</v>
      </c>
      <c r="F79" s="231">
        <f t="shared" ref="F79" si="8">E79*D79</f>
        <v>0</v>
      </c>
    </row>
    <row r="80" spans="1:8">
      <c r="A80" s="387"/>
      <c r="B80" s="223"/>
      <c r="F80" s="278"/>
    </row>
    <row r="81" spans="2:6">
      <c r="B81" s="239"/>
      <c r="C81" s="280"/>
      <c r="D81" s="383"/>
      <c r="E81" s="241"/>
      <c r="F81" s="242"/>
    </row>
    <row r="82" spans="2:6" ht="13.5">
      <c r="B82" s="243" t="s">
        <v>241</v>
      </c>
      <c r="F82" s="359">
        <f>SUM(F6:F79)</f>
        <v>0</v>
      </c>
    </row>
  </sheetData>
  <sheetProtection algorithmName="SHA-512" hashValue="i1MJi328hFnzx3QHTAwdGu/s26IitnnPAEvVgDM/DslhzJ9K7eTE2uW6oRcIv21rnZoGGF1cV9oirgDjVW8x+Q==" saltValue="aprKKjDoriZr+9DerWaUUA=="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9">
    <tabColor rgb="FFFFFF00"/>
  </sheetPr>
  <dimension ref="A1:H40"/>
  <sheetViews>
    <sheetView view="pageBreakPreview" zoomScale="85" zoomScaleNormal="100" zoomScaleSheetLayoutView="85" workbookViewId="0">
      <selection activeCell="B23" sqref="B23"/>
    </sheetView>
  </sheetViews>
  <sheetFormatPr defaultColWidth="9.140625" defaultRowHeight="12.75"/>
  <cols>
    <col min="1" max="1" width="5" style="215" customWidth="1"/>
    <col min="2" max="2" width="46.85546875" style="215" customWidth="1"/>
    <col min="3" max="3" width="5.7109375" style="215" customWidth="1"/>
    <col min="4" max="4" width="9.28515625" style="248" customWidth="1"/>
    <col min="5" max="5" width="9.140625" style="248"/>
    <col min="6" max="6" width="11.5703125" style="248" customWidth="1"/>
    <col min="7" max="16384" width="9.140625" style="215"/>
  </cols>
  <sheetData>
    <row r="1" spans="1:6" s="214" customFormat="1">
      <c r="A1" s="207" t="s">
        <v>29</v>
      </c>
      <c r="B1" s="208" t="s">
        <v>30</v>
      </c>
      <c r="C1" s="253"/>
      <c r="D1" s="254"/>
      <c r="E1" s="254"/>
      <c r="F1" s="255"/>
    </row>
    <row r="2" spans="1:6" s="214" customFormat="1" ht="4.5" customHeight="1">
      <c r="A2" s="258"/>
      <c r="B2" s="258"/>
      <c r="C2" s="212"/>
      <c r="D2" s="213"/>
      <c r="E2" s="213"/>
      <c r="F2" s="213"/>
    </row>
    <row r="3" spans="1:6" s="214" customFormat="1" ht="25.5">
      <c r="A3" s="216" t="s">
        <v>36</v>
      </c>
      <c r="B3" s="217" t="s">
        <v>0</v>
      </c>
      <c r="C3" s="218" t="s">
        <v>3</v>
      </c>
      <c r="D3" s="219" t="s">
        <v>1</v>
      </c>
      <c r="E3" s="220" t="s">
        <v>2</v>
      </c>
      <c r="F3" s="221" t="s">
        <v>163</v>
      </c>
    </row>
    <row r="4" spans="1:6" s="214" customFormat="1">
      <c r="A4" s="222"/>
      <c r="B4" s="285"/>
      <c r="C4" s="339"/>
      <c r="D4" s="244"/>
      <c r="E4" s="245"/>
      <c r="F4" s="245"/>
    </row>
    <row r="5" spans="1:6" s="214" customFormat="1" ht="141.75" customHeight="1">
      <c r="A5" s="222"/>
      <c r="B5" s="443" t="s">
        <v>639</v>
      </c>
      <c r="C5" s="443"/>
      <c r="D5" s="443"/>
      <c r="E5" s="443"/>
      <c r="F5" s="443"/>
    </row>
    <row r="6" spans="1:6" s="214" customFormat="1">
      <c r="A6" s="222"/>
      <c r="B6" s="390"/>
      <c r="C6" s="226"/>
      <c r="D6" s="236"/>
      <c r="E6" s="245"/>
      <c r="F6" s="245"/>
    </row>
    <row r="7" spans="1:6" s="214" customFormat="1" ht="179.25" customHeight="1">
      <c r="A7" s="227">
        <f>MAX($A$5:A6)+1</f>
        <v>1</v>
      </c>
      <c r="B7" s="391" t="s">
        <v>527</v>
      </c>
      <c r="C7" s="237"/>
      <c r="D7" s="230"/>
      <c r="E7" s="245"/>
      <c r="F7" s="300"/>
    </row>
    <row r="8" spans="1:6" s="214" customFormat="1" ht="15">
      <c r="A8" s="329" t="s">
        <v>586</v>
      </c>
      <c r="B8" s="366" t="s">
        <v>400</v>
      </c>
      <c r="C8" s="392" t="s">
        <v>526</v>
      </c>
      <c r="D8" s="230">
        <f>19.1+11.3+13.8+4.6+7.5+6+5.4+11.2+19.9+19+41.2+13.8+8.6+19+19.8+3-95+0.8</f>
        <v>129.00000000000003</v>
      </c>
      <c r="E8" s="245"/>
      <c r="F8" s="231">
        <f t="shared" ref="F8:F13" si="0">E8*D8</f>
        <v>0</v>
      </c>
    </row>
    <row r="9" spans="1:6" s="214" customFormat="1" ht="15">
      <c r="A9" s="329" t="s">
        <v>587</v>
      </c>
      <c r="B9" s="366" t="s">
        <v>528</v>
      </c>
      <c r="C9" s="392" t="s">
        <v>526</v>
      </c>
      <c r="D9" s="230">
        <f>66.8+0.2</f>
        <v>67</v>
      </c>
      <c r="E9" s="245"/>
      <c r="F9" s="231">
        <f t="shared" si="0"/>
        <v>0</v>
      </c>
    </row>
    <row r="10" spans="1:6" s="214" customFormat="1" ht="15">
      <c r="A10" s="329" t="s">
        <v>588</v>
      </c>
      <c r="B10" s="366" t="s">
        <v>529</v>
      </c>
      <c r="C10" s="392" t="s">
        <v>526</v>
      </c>
      <c r="D10" s="230">
        <f>3.8+3.5+12.8+6.5+16.4</f>
        <v>43</v>
      </c>
      <c r="E10" s="245"/>
      <c r="F10" s="231">
        <f t="shared" si="0"/>
        <v>0</v>
      </c>
    </row>
    <row r="11" spans="1:6" s="214" customFormat="1" ht="15">
      <c r="A11" s="329" t="s">
        <v>589</v>
      </c>
      <c r="B11" s="366" t="s">
        <v>530</v>
      </c>
      <c r="C11" s="392" t="s">
        <v>526</v>
      </c>
      <c r="D11" s="230">
        <f>11.5+6.6+24.9</f>
        <v>43</v>
      </c>
      <c r="E11" s="245"/>
      <c r="F11" s="231">
        <f t="shared" si="0"/>
        <v>0</v>
      </c>
    </row>
    <row r="12" spans="1:6" s="214" customFormat="1" ht="15">
      <c r="A12" s="329" t="s">
        <v>636</v>
      </c>
      <c r="B12" s="366" t="s">
        <v>531</v>
      </c>
      <c r="C12" s="392" t="s">
        <v>526</v>
      </c>
      <c r="D12" s="230">
        <f>3.3+0.2</f>
        <v>3.5</v>
      </c>
      <c r="E12" s="245"/>
      <c r="F12" s="231">
        <f t="shared" si="0"/>
        <v>0</v>
      </c>
    </row>
    <row r="13" spans="1:6" s="214" customFormat="1" ht="15">
      <c r="A13" s="329" t="s">
        <v>637</v>
      </c>
      <c r="B13" s="366" t="s">
        <v>532</v>
      </c>
      <c r="C13" s="392" t="s">
        <v>526</v>
      </c>
      <c r="D13" s="230">
        <f>25+12.4+0.1</f>
        <v>37.5</v>
      </c>
      <c r="E13" s="245"/>
      <c r="F13" s="231">
        <f t="shared" si="0"/>
        <v>0</v>
      </c>
    </row>
    <row r="14" spans="1:6">
      <c r="A14" s="232"/>
      <c r="B14" s="393"/>
      <c r="C14" s="394"/>
      <c r="D14" s="289"/>
      <c r="E14" s="245"/>
      <c r="F14" s="315"/>
    </row>
    <row r="15" spans="1:6" s="214" customFormat="1" ht="27.6" customHeight="1">
      <c r="A15" s="227">
        <f>MAX($A$5:A14)+1</f>
        <v>2</v>
      </c>
      <c r="B15" s="366" t="s">
        <v>735</v>
      </c>
      <c r="C15" s="270"/>
      <c r="D15" s="270"/>
      <c r="E15" s="245"/>
      <c r="F15" s="270"/>
    </row>
    <row r="16" spans="1:6" s="214" customFormat="1">
      <c r="A16" s="329" t="s">
        <v>586</v>
      </c>
      <c r="B16" s="366" t="s">
        <v>400</v>
      </c>
      <c r="C16" s="237" t="s">
        <v>204</v>
      </c>
      <c r="D16" s="230">
        <f>21.6-0.5-1+6.5+3.1+4.7+6.2+56.2-6+12.3+12.3-4+13.81-3+9+17.6-5+10.2+41-1-1+0.99</f>
        <v>194</v>
      </c>
      <c r="E16" s="245"/>
      <c r="F16" s="231">
        <f>E16*D16</f>
        <v>0</v>
      </c>
    </row>
    <row r="17" spans="1:6" s="214" customFormat="1">
      <c r="A17" s="329" t="s">
        <v>587</v>
      </c>
      <c r="B17" s="366" t="s">
        <v>236</v>
      </c>
      <c r="C17" s="237" t="s">
        <v>204</v>
      </c>
      <c r="D17" s="230">
        <f>12.5+12.8+0.7</f>
        <v>26</v>
      </c>
      <c r="E17" s="245"/>
      <c r="F17" s="231">
        <f>E17*D17</f>
        <v>0</v>
      </c>
    </row>
    <row r="18" spans="1:6">
      <c r="A18" s="286"/>
      <c r="B18" s="393"/>
      <c r="C18" s="394"/>
      <c r="D18" s="289"/>
      <c r="E18" s="245"/>
      <c r="F18" s="315"/>
    </row>
    <row r="19" spans="1:6" s="214" customFormat="1" ht="47.25" customHeight="1">
      <c r="A19" s="227">
        <f>MAX($A$5:A18)+1</f>
        <v>3</v>
      </c>
      <c r="B19" s="228" t="s">
        <v>282</v>
      </c>
      <c r="C19" s="229" t="s">
        <v>205</v>
      </c>
      <c r="D19" s="230">
        <f>20</f>
        <v>20</v>
      </c>
      <c r="E19" s="245"/>
      <c r="F19" s="231">
        <f>E19*D19</f>
        <v>0</v>
      </c>
    </row>
    <row r="20" spans="1:6" s="214" customFormat="1">
      <c r="A20" s="270"/>
      <c r="B20" s="366"/>
      <c r="C20" s="229"/>
      <c r="D20" s="230"/>
      <c r="E20" s="245"/>
      <c r="F20" s="231"/>
    </row>
    <row r="21" spans="1:6" s="214" customFormat="1" ht="103.5" customHeight="1">
      <c r="A21" s="227">
        <f>MAX($A$5:A20)+1</f>
        <v>4</v>
      </c>
      <c r="B21" s="228" t="s">
        <v>533</v>
      </c>
      <c r="E21" s="245"/>
    </row>
    <row r="22" spans="1:6" s="214" customFormat="1">
      <c r="A22" s="329" t="s">
        <v>586</v>
      </c>
      <c r="B22" s="228" t="s">
        <v>400</v>
      </c>
      <c r="C22" s="320" t="s">
        <v>4</v>
      </c>
      <c r="D22" s="230">
        <f>6+4.15*2+6+4.15*2+6+4+6+4+0.4</f>
        <v>49</v>
      </c>
      <c r="E22" s="245"/>
      <c r="F22" s="231">
        <f>E22*D22</f>
        <v>0</v>
      </c>
    </row>
    <row r="23" spans="1:6" s="214" customFormat="1">
      <c r="A23" s="329" t="s">
        <v>587</v>
      </c>
      <c r="B23" s="228" t="s">
        <v>236</v>
      </c>
      <c r="C23" s="320" t="s">
        <v>4</v>
      </c>
      <c r="D23" s="230">
        <f>25+4+3.5+4+0.5</f>
        <v>37</v>
      </c>
      <c r="E23" s="245"/>
      <c r="F23" s="231">
        <f t="shared" ref="F23:F24" si="1">E23*D23</f>
        <v>0</v>
      </c>
    </row>
    <row r="24" spans="1:6" s="214" customFormat="1">
      <c r="A24" s="329" t="s">
        <v>588</v>
      </c>
      <c r="B24" s="228" t="s">
        <v>531</v>
      </c>
      <c r="C24" s="320" t="s">
        <v>4</v>
      </c>
      <c r="D24" s="230">
        <f>25+12.4+3.3+0.3</f>
        <v>40.999999999999993</v>
      </c>
      <c r="E24" s="245"/>
      <c r="F24" s="231">
        <f t="shared" si="1"/>
        <v>0</v>
      </c>
    </row>
    <row r="25" spans="1:6">
      <c r="A25" s="370"/>
      <c r="B25" s="370"/>
      <c r="C25" s="394"/>
      <c r="D25" s="289"/>
      <c r="E25" s="245"/>
      <c r="F25" s="290"/>
    </row>
    <row r="26" spans="1:6" s="214" customFormat="1" ht="125.25" customHeight="1">
      <c r="A26" s="227">
        <f>MAX($A$5:A25)+1</f>
        <v>5</v>
      </c>
      <c r="B26" s="391" t="s">
        <v>540</v>
      </c>
      <c r="C26" s="229"/>
      <c r="D26" s="230"/>
      <c r="E26" s="245"/>
      <c r="F26" s="300"/>
    </row>
    <row r="27" spans="1:6" s="214" customFormat="1" ht="25.5">
      <c r="A27" s="329"/>
      <c r="B27" s="366" t="s">
        <v>534</v>
      </c>
      <c r="C27" s="270"/>
      <c r="D27" s="270"/>
      <c r="E27" s="245"/>
      <c r="F27" s="270"/>
    </row>
    <row r="28" spans="1:6" s="214" customFormat="1" ht="15">
      <c r="A28" s="329" t="s">
        <v>586</v>
      </c>
      <c r="B28" s="366" t="s">
        <v>400</v>
      </c>
      <c r="C28" s="392" t="s">
        <v>526</v>
      </c>
      <c r="D28" s="327">
        <f>2.6*9.3+2.6*9.9+1.8*2.4+0.26</f>
        <v>54.5</v>
      </c>
      <c r="E28" s="245"/>
      <c r="F28" s="231">
        <f t="shared" ref="F28:F34" si="2">E28*D28</f>
        <v>0</v>
      </c>
    </row>
    <row r="29" spans="1:6" s="214" customFormat="1" ht="15">
      <c r="A29" s="329" t="s">
        <v>587</v>
      </c>
      <c r="B29" s="366" t="s">
        <v>535</v>
      </c>
      <c r="C29" s="392" t="s">
        <v>526</v>
      </c>
      <c r="D29" s="327">
        <f>2.6*(19+19+8.2+14.4+8.7+8.7+14.5-8.26-2.7-7.25-2.7)-1.13</f>
        <v>185.00399999999999</v>
      </c>
      <c r="E29" s="245"/>
      <c r="F29" s="231">
        <f t="shared" si="2"/>
        <v>0</v>
      </c>
    </row>
    <row r="30" spans="1:6" s="214" customFormat="1" ht="15">
      <c r="A30" s="329" t="s">
        <v>588</v>
      </c>
      <c r="B30" s="366" t="s">
        <v>536</v>
      </c>
      <c r="C30" s="392" t="s">
        <v>526</v>
      </c>
      <c r="D30" s="327">
        <f>33.2*2.2+10.3*2.2+0.3</f>
        <v>96.000000000000014</v>
      </c>
      <c r="E30" s="245"/>
      <c r="F30" s="231">
        <f t="shared" si="2"/>
        <v>0</v>
      </c>
    </row>
    <row r="31" spans="1:6" s="214" customFormat="1" ht="15">
      <c r="A31" s="329" t="s">
        <v>589</v>
      </c>
      <c r="B31" s="366" t="s">
        <v>275</v>
      </c>
      <c r="C31" s="392" t="s">
        <v>526</v>
      </c>
      <c r="D31" s="327">
        <f>(7.1+6.6+9.6)*2.2+0.74+2</f>
        <v>54</v>
      </c>
      <c r="E31" s="245"/>
      <c r="F31" s="231">
        <f t="shared" si="2"/>
        <v>0</v>
      </c>
    </row>
    <row r="32" spans="1:6" s="214" customFormat="1" ht="15">
      <c r="A32" s="329" t="s">
        <v>636</v>
      </c>
      <c r="B32" s="366" t="s">
        <v>537</v>
      </c>
      <c r="C32" s="392" t="s">
        <v>526</v>
      </c>
      <c r="D32" s="327">
        <f>2.2*(22.9)+0.62+1</f>
        <v>52</v>
      </c>
      <c r="E32" s="245"/>
      <c r="F32" s="231">
        <f t="shared" si="2"/>
        <v>0</v>
      </c>
    </row>
    <row r="33" spans="1:8" s="214" customFormat="1" ht="15">
      <c r="A33" s="329" t="s">
        <v>637</v>
      </c>
      <c r="B33" s="366" t="s">
        <v>538</v>
      </c>
      <c r="C33" s="392" t="s">
        <v>526</v>
      </c>
      <c r="D33" s="327">
        <f>(30.9+18)*2.2+0.42</f>
        <v>108.00000000000001</v>
      </c>
      <c r="E33" s="245"/>
      <c r="F33" s="231">
        <f t="shared" si="2"/>
        <v>0</v>
      </c>
    </row>
    <row r="34" spans="1:8" s="214" customFormat="1" ht="15">
      <c r="A34" s="329" t="s">
        <v>638</v>
      </c>
      <c r="B34" s="366" t="s">
        <v>539</v>
      </c>
      <c r="C34" s="392" t="s">
        <v>526</v>
      </c>
      <c r="D34" s="327">
        <f>5.6*2.2+0.68+2</f>
        <v>15</v>
      </c>
      <c r="E34" s="245"/>
      <c r="F34" s="231">
        <f t="shared" si="2"/>
        <v>0</v>
      </c>
    </row>
    <row r="35" spans="1:8">
      <c r="A35" s="222"/>
      <c r="B35" s="223"/>
      <c r="C35" s="360"/>
      <c r="D35" s="395"/>
      <c r="E35" s="347"/>
      <c r="F35" s="348"/>
      <c r="G35" s="214"/>
      <c r="H35" s="214"/>
    </row>
    <row r="36" spans="1:8">
      <c r="A36" s="238"/>
      <c r="B36" s="239"/>
      <c r="C36" s="306"/>
      <c r="D36" s="225"/>
      <c r="E36" s="267"/>
      <c r="F36" s="278"/>
      <c r="G36" s="214"/>
      <c r="H36" s="214"/>
    </row>
    <row r="37" spans="1:8" ht="15.75" customHeight="1">
      <c r="A37" s="222"/>
      <c r="B37" s="243" t="s">
        <v>220</v>
      </c>
      <c r="C37" s="214"/>
      <c r="D37" s="244"/>
      <c r="E37" s="245"/>
      <c r="F37" s="246">
        <f>SUM(F7:F35)</f>
        <v>0</v>
      </c>
      <c r="G37" s="214"/>
      <c r="H37" s="214"/>
    </row>
    <row r="38" spans="1:8">
      <c r="A38" s="214"/>
      <c r="B38" s="214"/>
      <c r="C38" s="214"/>
      <c r="D38" s="267"/>
      <c r="E38" s="267"/>
      <c r="F38" s="267"/>
      <c r="G38" s="214"/>
      <c r="H38" s="214"/>
    </row>
    <row r="39" spans="1:8">
      <c r="A39" s="214"/>
      <c r="B39" s="362"/>
      <c r="C39" s="214"/>
      <c r="D39" s="267"/>
      <c r="E39" s="267"/>
      <c r="F39" s="267"/>
      <c r="G39" s="214"/>
      <c r="H39" s="214"/>
    </row>
    <row r="40" spans="1:8">
      <c r="B40" s="247"/>
    </row>
  </sheetData>
  <sheetProtection algorithmName="SHA-512" hashValue="yVNEhxz7JKLFhXiNYvrNYtGhh/SO522EKGh/u2lNZHR32gYQbC8kfjjdUkbu5PU/YgImmXQwe7HGZ7PnvtFbbg==" saltValue="WvIzagWaHuwazCDhoCbaY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20">
    <tabColor rgb="FFFFFF00"/>
  </sheetPr>
  <dimension ref="A1:H20"/>
  <sheetViews>
    <sheetView view="pageBreakPreview" zoomScaleSheetLayoutView="100" workbookViewId="0">
      <selection activeCell="A15" sqref="A15:XFD15"/>
    </sheetView>
  </sheetViews>
  <sheetFormatPr defaultColWidth="9.140625" defaultRowHeight="12.75"/>
  <cols>
    <col min="1" max="1" width="5" style="155" customWidth="1"/>
    <col min="2" max="2" width="46.85546875" style="155" customWidth="1"/>
    <col min="3" max="3" width="5.7109375" style="155" customWidth="1"/>
    <col min="4" max="4" width="9.28515625" style="156" customWidth="1"/>
    <col min="5" max="5" width="9.140625" style="156"/>
    <col min="6" max="6" width="11.5703125" style="156" customWidth="1"/>
    <col min="7" max="16384" width="9.140625" style="155"/>
  </cols>
  <sheetData>
    <row r="1" spans="1:8">
      <c r="A1" s="158" t="s">
        <v>31</v>
      </c>
      <c r="B1" s="159" t="s">
        <v>232</v>
      </c>
      <c r="C1" s="177"/>
      <c r="D1" s="178"/>
      <c r="E1" s="178"/>
      <c r="F1" s="179"/>
    </row>
    <row r="2" spans="1:8" ht="4.5" customHeight="1">
      <c r="A2" s="180"/>
      <c r="B2" s="180"/>
      <c r="C2" s="160"/>
      <c r="D2" s="161"/>
      <c r="E2" s="161"/>
      <c r="F2" s="161"/>
    </row>
    <row r="3" spans="1:8" ht="25.5">
      <c r="A3" s="162" t="s">
        <v>36</v>
      </c>
      <c r="B3" s="163" t="s">
        <v>0</v>
      </c>
      <c r="C3" s="164" t="s">
        <v>3</v>
      </c>
      <c r="D3" s="165" t="s">
        <v>1</v>
      </c>
      <c r="E3" s="166" t="s">
        <v>2</v>
      </c>
      <c r="F3" s="167" t="s">
        <v>163</v>
      </c>
    </row>
    <row r="4" spans="1:8">
      <c r="A4" s="168"/>
      <c r="B4" s="185"/>
      <c r="C4" s="186"/>
      <c r="D4" s="173"/>
      <c r="E4" s="174"/>
      <c r="F4" s="174"/>
    </row>
    <row r="5" spans="1:8" ht="80.45" customHeight="1">
      <c r="A5" s="168"/>
      <c r="B5" s="445" t="s">
        <v>270</v>
      </c>
      <c r="C5" s="445"/>
      <c r="D5" s="445"/>
      <c r="E5" s="445"/>
      <c r="F5" s="445"/>
    </row>
    <row r="6" spans="1:8">
      <c r="A6" s="168"/>
      <c r="B6" s="195"/>
      <c r="C6" s="194"/>
      <c r="D6" s="170"/>
      <c r="E6" s="174"/>
      <c r="F6" s="176"/>
    </row>
    <row r="7" spans="1:8" ht="76.5">
      <c r="A7" s="168" t="s">
        <v>11</v>
      </c>
      <c r="B7" s="195" t="s">
        <v>268</v>
      </c>
      <c r="C7" s="194"/>
      <c r="D7" s="170"/>
      <c r="E7" s="174"/>
      <c r="F7" s="176"/>
    </row>
    <row r="8" spans="1:8">
      <c r="A8" s="168" t="s">
        <v>251</v>
      </c>
      <c r="B8" s="184" t="s">
        <v>255</v>
      </c>
      <c r="C8" s="181" t="s">
        <v>175</v>
      </c>
      <c r="D8" s="170">
        <v>2</v>
      </c>
      <c r="E8" s="169"/>
      <c r="F8" s="176">
        <f t="shared" ref="F8:F14" si="0">E8*D8</f>
        <v>0</v>
      </c>
      <c r="H8" s="183"/>
    </row>
    <row r="9" spans="1:8">
      <c r="A9" s="182" t="s">
        <v>252</v>
      </c>
      <c r="B9" s="184" t="s">
        <v>262</v>
      </c>
      <c r="C9" s="181" t="s">
        <v>175</v>
      </c>
      <c r="D9" s="170">
        <v>2</v>
      </c>
      <c r="E9" s="169"/>
      <c r="F9" s="176">
        <f t="shared" si="0"/>
        <v>0</v>
      </c>
      <c r="H9" s="183"/>
    </row>
    <row r="10" spans="1:8">
      <c r="A10" s="182" t="s">
        <v>253</v>
      </c>
      <c r="B10" s="184" t="s">
        <v>263</v>
      </c>
      <c r="C10" s="181" t="s">
        <v>175</v>
      </c>
      <c r="D10" s="170">
        <v>1</v>
      </c>
      <c r="E10" s="169"/>
      <c r="F10" s="176">
        <f t="shared" si="0"/>
        <v>0</v>
      </c>
      <c r="H10" s="183"/>
    </row>
    <row r="11" spans="1:8">
      <c r="A11" s="182" t="s">
        <v>246</v>
      </c>
      <c r="B11" s="184" t="s">
        <v>264</v>
      </c>
      <c r="C11" s="181" t="s">
        <v>175</v>
      </c>
      <c r="D11" s="170">
        <v>1</v>
      </c>
      <c r="E11" s="169"/>
      <c r="F11" s="176">
        <f t="shared" si="0"/>
        <v>0</v>
      </c>
      <c r="H11" s="183"/>
    </row>
    <row r="12" spans="1:8">
      <c r="A12" s="182" t="s">
        <v>247</v>
      </c>
      <c r="B12" s="184" t="s">
        <v>265</v>
      </c>
      <c r="C12" s="181" t="s">
        <v>175</v>
      </c>
      <c r="D12" s="170">
        <v>1</v>
      </c>
      <c r="E12" s="169"/>
      <c r="F12" s="176">
        <f t="shared" si="0"/>
        <v>0</v>
      </c>
      <c r="H12" s="183"/>
    </row>
    <row r="13" spans="1:8">
      <c r="A13" s="182" t="s">
        <v>254</v>
      </c>
      <c r="B13" s="184" t="s">
        <v>266</v>
      </c>
      <c r="C13" s="181" t="s">
        <v>175</v>
      </c>
      <c r="D13" s="170">
        <v>3</v>
      </c>
      <c r="E13" s="169"/>
      <c r="F13" s="176">
        <f t="shared" si="0"/>
        <v>0</v>
      </c>
      <c r="H13" s="183"/>
    </row>
    <row r="14" spans="1:8">
      <c r="A14" s="182" t="s">
        <v>248</v>
      </c>
      <c r="B14" s="184" t="s">
        <v>267</v>
      </c>
      <c r="C14" s="181" t="s">
        <v>175</v>
      </c>
      <c r="D14" s="170">
        <v>1</v>
      </c>
      <c r="E14" s="169"/>
      <c r="F14" s="176">
        <f t="shared" si="0"/>
        <v>0</v>
      </c>
      <c r="H14" s="183"/>
    </row>
    <row r="15" spans="1:8">
      <c r="A15" s="168"/>
      <c r="B15" s="187"/>
      <c r="C15" s="188"/>
      <c r="D15" s="189"/>
      <c r="E15" s="190"/>
      <c r="F15" s="190"/>
    </row>
    <row r="16" spans="1:8">
      <c r="A16" s="171"/>
      <c r="B16" s="172"/>
      <c r="C16" s="191"/>
      <c r="D16" s="169"/>
    </row>
    <row r="17" spans="1:6">
      <c r="A17" s="168"/>
      <c r="B17" s="157" t="s">
        <v>233</v>
      </c>
      <c r="D17" s="173"/>
      <c r="E17" s="174"/>
      <c r="F17" s="175">
        <f>SUM(F6:F15)</f>
        <v>0</v>
      </c>
    </row>
    <row r="19" spans="1:6">
      <c r="B19" s="192"/>
    </row>
    <row r="20" spans="1:6">
      <c r="B20" s="193"/>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&amp;C&amp;F; &amp;A&amp;R&amp;G</oddHeader>
    <oddFooter>&amp;C&amp;14&amp;Y&amp;P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tabColor rgb="FF7030A0"/>
  </sheetPr>
  <dimension ref="A1:F28"/>
  <sheetViews>
    <sheetView view="pageBreakPreview" zoomScaleNormal="100" zoomScaleSheetLayoutView="100" workbookViewId="0">
      <selection activeCell="F17" sqref="F17"/>
    </sheetView>
  </sheetViews>
  <sheetFormatPr defaultColWidth="9.140625" defaultRowHeight="12.75"/>
  <cols>
    <col min="1" max="1" width="5.85546875" style="214" customWidth="1"/>
    <col min="2" max="2" width="46.85546875" style="214" customWidth="1"/>
    <col min="3" max="3" width="6.140625" style="214" customWidth="1"/>
    <col min="4" max="4" width="8" style="267" customWidth="1"/>
    <col min="5" max="5" width="6.28515625" style="267" customWidth="1"/>
    <col min="6" max="6" width="13.85546875" style="267" customWidth="1"/>
    <col min="7" max="16384" width="9.140625" style="214"/>
  </cols>
  <sheetData>
    <row r="1" spans="1:6">
      <c r="A1" s="270"/>
      <c r="B1" s="270"/>
      <c r="C1" s="270"/>
      <c r="D1" s="278"/>
      <c r="E1" s="278"/>
      <c r="F1" s="278"/>
    </row>
    <row r="2" spans="1:6">
      <c r="A2" s="270"/>
      <c r="B2" s="270"/>
      <c r="C2" s="270"/>
      <c r="D2" s="278"/>
      <c r="E2" s="278"/>
      <c r="F2" s="278"/>
    </row>
    <row r="3" spans="1:6" ht="18">
      <c r="A3" s="270"/>
      <c r="B3" s="432" t="s">
        <v>294</v>
      </c>
      <c r="C3" s="270"/>
      <c r="D3" s="278"/>
      <c r="E3" s="278"/>
      <c r="F3" s="278"/>
    </row>
    <row r="4" spans="1:6" ht="18">
      <c r="A4" s="270"/>
      <c r="B4" s="270"/>
      <c r="C4" s="432"/>
      <c r="D4" s="432"/>
      <c r="E4" s="432"/>
      <c r="F4" s="432"/>
    </row>
    <row r="5" spans="1:6" s="417" customFormat="1" ht="18">
      <c r="A5" s="406"/>
      <c r="B5" s="432" t="s">
        <v>292</v>
      </c>
      <c r="C5" s="432"/>
      <c r="D5" s="432"/>
      <c r="E5" s="432"/>
      <c r="F5" s="432"/>
    </row>
    <row r="6" spans="1:6" s="417" customFormat="1" ht="18">
      <c r="A6" s="406"/>
      <c r="B6" s="432"/>
      <c r="C6" s="432"/>
      <c r="D6" s="432"/>
      <c r="E6" s="432"/>
      <c r="F6" s="432"/>
    </row>
    <row r="7" spans="1:6" s="417" customFormat="1" ht="18">
      <c r="A7" s="406"/>
      <c r="B7" s="432"/>
      <c r="C7" s="432"/>
      <c r="D7" s="432"/>
      <c r="E7" s="432"/>
      <c r="F7" s="432"/>
    </row>
    <row r="8" spans="1:6" ht="18">
      <c r="A8" s="270"/>
      <c r="B8" s="433"/>
      <c r="C8" s="270"/>
      <c r="D8" s="278"/>
      <c r="E8" s="278"/>
      <c r="F8" s="278"/>
    </row>
    <row r="9" spans="1:6">
      <c r="A9" s="270"/>
      <c r="B9" s="270"/>
      <c r="C9" s="270"/>
      <c r="D9" s="278"/>
      <c r="E9" s="278"/>
      <c r="F9" s="278"/>
    </row>
    <row r="10" spans="1:6" s="417" customFormat="1" ht="15.75">
      <c r="A10" s="406" t="s">
        <v>15</v>
      </c>
      <c r="B10" s="407" t="s">
        <v>259</v>
      </c>
      <c r="C10" s="408"/>
      <c r="D10" s="409"/>
      <c r="E10" s="409"/>
      <c r="F10" s="409"/>
    </row>
    <row r="11" spans="1:6">
      <c r="A11" s="270"/>
      <c r="B11" s="270"/>
      <c r="C11" s="270"/>
      <c r="D11" s="278"/>
      <c r="E11" s="278"/>
      <c r="F11" s="278"/>
    </row>
    <row r="12" spans="1:6">
      <c r="A12" s="411"/>
      <c r="B12" s="412"/>
      <c r="C12" s="270"/>
      <c r="D12" s="278"/>
      <c r="E12" s="278"/>
      <c r="F12" s="276"/>
    </row>
    <row r="13" spans="1:6">
      <c r="A13" s="411" t="s">
        <v>11</v>
      </c>
      <c r="B13" s="412" t="s">
        <v>239</v>
      </c>
      <c r="C13" s="270"/>
      <c r="D13" s="278"/>
      <c r="E13" s="278"/>
      <c r="F13" s="413">
        <f>'GRADBENA DELA'!F20</f>
        <v>0</v>
      </c>
    </row>
    <row r="14" spans="1:6">
      <c r="A14" s="411"/>
      <c r="B14" s="412"/>
      <c r="C14" s="270"/>
      <c r="D14" s="278"/>
      <c r="E14" s="278"/>
      <c r="F14" s="413"/>
    </row>
    <row r="15" spans="1:6">
      <c r="A15" s="411" t="s">
        <v>12</v>
      </c>
      <c r="B15" s="412" t="s">
        <v>240</v>
      </c>
      <c r="C15" s="270"/>
      <c r="D15" s="278"/>
      <c r="E15" s="278"/>
      <c r="F15" s="413">
        <f>'OBRTNIŠKA DELA'!F34</f>
        <v>0</v>
      </c>
    </row>
    <row r="16" spans="1:6">
      <c r="A16" s="411"/>
      <c r="B16" s="412"/>
      <c r="C16" s="270"/>
      <c r="D16" s="278"/>
      <c r="E16" s="278"/>
      <c r="F16" s="413"/>
    </row>
    <row r="17" spans="1:6">
      <c r="A17" s="411" t="s">
        <v>13</v>
      </c>
      <c r="B17" s="412" t="s">
        <v>803</v>
      </c>
      <c r="C17" s="270"/>
      <c r="D17" s="278"/>
      <c r="E17" s="278"/>
      <c r="F17" s="413">
        <f>(F13+F15)*0.03</f>
        <v>0</v>
      </c>
    </row>
    <row r="18" spans="1:6">
      <c r="A18" s="415"/>
      <c r="B18" s="415"/>
      <c r="C18" s="415"/>
      <c r="D18" s="348"/>
      <c r="E18" s="348"/>
      <c r="F18" s="416"/>
    </row>
    <row r="19" spans="1:6">
      <c r="A19" s="270"/>
      <c r="B19" s="270"/>
      <c r="C19" s="270"/>
      <c r="D19" s="278"/>
      <c r="E19" s="278"/>
      <c r="F19" s="413"/>
    </row>
    <row r="20" spans="1:6">
      <c r="A20" s="270"/>
      <c r="B20" s="352" t="s">
        <v>14</v>
      </c>
      <c r="C20" s="270"/>
      <c r="D20" s="278"/>
      <c r="E20" s="278"/>
      <c r="F20" s="413">
        <f>SUM(F13:F19)</f>
        <v>0</v>
      </c>
    </row>
    <row r="21" spans="1:6">
      <c r="A21" s="270"/>
      <c r="B21" s="270"/>
      <c r="C21" s="270"/>
      <c r="D21" s="278"/>
      <c r="E21" s="278"/>
      <c r="F21" s="434"/>
    </row>
    <row r="22" spans="1:6">
      <c r="A22" s="270"/>
      <c r="B22" s="412" t="s">
        <v>808</v>
      </c>
      <c r="C22" s="270"/>
      <c r="D22" s="278"/>
      <c r="E22" s="278"/>
      <c r="F22" s="413">
        <f>F20*0.22</f>
        <v>0</v>
      </c>
    </row>
    <row r="23" spans="1:6">
      <c r="A23" s="270"/>
      <c r="B23" s="270"/>
      <c r="C23" s="270"/>
      <c r="D23" s="278"/>
      <c r="E23" s="278"/>
      <c r="F23" s="278"/>
    </row>
    <row r="24" spans="1:6">
      <c r="A24" s="270"/>
      <c r="B24" s="352" t="s">
        <v>288</v>
      </c>
      <c r="C24" s="270"/>
      <c r="D24" s="278"/>
      <c r="E24" s="278"/>
      <c r="F24" s="413">
        <f>SUM(F19:F23)</f>
        <v>0</v>
      </c>
    </row>
    <row r="25" spans="1:6">
      <c r="F25" s="278"/>
    </row>
    <row r="26" spans="1:6">
      <c r="F26" s="278"/>
    </row>
    <row r="27" spans="1:6">
      <c r="F27" s="278"/>
    </row>
    <row r="28" spans="1:6">
      <c r="F28" s="278"/>
    </row>
  </sheetData>
  <sheetProtection algorithmName="SHA-512" hashValue="DO9m2rKs9PiAIr3aygVDfvaMKrv3zSwbQx81wsdAXXQsJHrAjZFggCYy6USWk+hh0W4yTjoCxelCrVMmmNnsEw==" saltValue="DTsyFj5XNB+YFO6igb0ldg=="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1">
    <tabColor rgb="FFFFFF00"/>
  </sheetPr>
  <dimension ref="A1:G28"/>
  <sheetViews>
    <sheetView view="pageBreakPreview"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14" customWidth="1"/>
    <col min="4" max="4" width="9.42578125" style="267" customWidth="1"/>
    <col min="5" max="5" width="9.140625" style="267"/>
    <col min="6" max="6" width="11.5703125" style="267" customWidth="1"/>
    <col min="7" max="16384" width="9.140625" style="214"/>
  </cols>
  <sheetData>
    <row r="1" spans="1:7">
      <c r="A1" s="207" t="s">
        <v>33</v>
      </c>
      <c r="B1" s="208" t="s">
        <v>283</v>
      </c>
      <c r="C1" s="253"/>
      <c r="D1" s="254"/>
      <c r="E1" s="254"/>
      <c r="F1" s="255"/>
    </row>
    <row r="2" spans="1:7" ht="4.5" customHeight="1">
      <c r="A2" s="258"/>
      <c r="B2" s="258"/>
      <c r="C2" s="212"/>
      <c r="D2" s="213"/>
      <c r="E2" s="213"/>
      <c r="F2" s="213"/>
    </row>
    <row r="3" spans="1:7" ht="25.5">
      <c r="A3" s="216" t="s">
        <v>36</v>
      </c>
      <c r="B3" s="217" t="s">
        <v>0</v>
      </c>
      <c r="C3" s="218" t="s">
        <v>3</v>
      </c>
      <c r="D3" s="219" t="s">
        <v>1</v>
      </c>
      <c r="E3" s="220" t="s">
        <v>2</v>
      </c>
      <c r="F3" s="221" t="s">
        <v>163</v>
      </c>
    </row>
    <row r="4" spans="1:7">
      <c r="A4" s="222"/>
      <c r="B4" s="285"/>
      <c r="C4" s="339"/>
      <c r="D4" s="244"/>
      <c r="E4" s="245"/>
      <c r="F4" s="245"/>
    </row>
    <row r="5" spans="1:7" ht="84.75" customHeight="1">
      <c r="A5" s="222"/>
      <c r="B5" s="443" t="s">
        <v>541</v>
      </c>
      <c r="C5" s="443"/>
      <c r="D5" s="443"/>
      <c r="E5" s="443"/>
      <c r="F5" s="443"/>
    </row>
    <row r="6" spans="1:7">
      <c r="A6" s="222"/>
      <c r="B6" s="396"/>
      <c r="C6" s="226"/>
      <c r="D6" s="236"/>
      <c r="E6" s="245"/>
      <c r="F6" s="245"/>
    </row>
    <row r="7" spans="1:7" ht="344.25" customHeight="1">
      <c r="A7" s="232" t="s">
        <v>11</v>
      </c>
      <c r="B7" s="233" t="s">
        <v>734</v>
      </c>
      <c r="D7" s="214"/>
      <c r="E7" s="214"/>
      <c r="F7" s="214"/>
    </row>
    <row r="8" spans="1:7">
      <c r="A8" s="232" t="s">
        <v>586</v>
      </c>
      <c r="B8" s="233" t="s">
        <v>542</v>
      </c>
      <c r="C8" s="237" t="s">
        <v>4</v>
      </c>
      <c r="D8" s="327">
        <f>61.6+61.5+89.9</f>
        <v>213</v>
      </c>
      <c r="E8" s="397"/>
      <c r="F8" s="231">
        <f>E8*D8</f>
        <v>0</v>
      </c>
    </row>
    <row r="9" spans="1:7">
      <c r="A9" s="232" t="s">
        <v>587</v>
      </c>
      <c r="B9" s="233" t="s">
        <v>543</v>
      </c>
      <c r="C9" s="237" t="s">
        <v>4</v>
      </c>
      <c r="D9" s="327">
        <f>75.7+8.9+4.9+32+20.4+141.7+22+0.4+20</f>
        <v>326</v>
      </c>
      <c r="E9" s="397"/>
      <c r="F9" s="231">
        <f>E9*D9</f>
        <v>0</v>
      </c>
    </row>
    <row r="10" spans="1:7">
      <c r="A10" s="232" t="s">
        <v>588</v>
      </c>
      <c r="B10" s="233" t="s">
        <v>544</v>
      </c>
      <c r="C10" s="237" t="s">
        <v>4</v>
      </c>
      <c r="D10" s="327">
        <f>61.6+61.5+59.3+0.6</f>
        <v>182.99999999999997</v>
      </c>
      <c r="E10" s="397"/>
      <c r="F10" s="231">
        <f>E10*D10</f>
        <v>0</v>
      </c>
    </row>
    <row r="11" spans="1:7">
      <c r="A11" s="232" t="s">
        <v>589</v>
      </c>
      <c r="B11" s="233" t="s">
        <v>545</v>
      </c>
      <c r="C11" s="237" t="s">
        <v>4</v>
      </c>
      <c r="D11" s="327">
        <f>10.4+9.6+12+88.3+9.6+20.2+10.3+4.7+12.1*2+61.9</f>
        <v>251.2</v>
      </c>
      <c r="E11" s="397"/>
      <c r="F11" s="231">
        <f>E11*D11</f>
        <v>0</v>
      </c>
    </row>
    <row r="12" spans="1:7">
      <c r="A12" s="232" t="s">
        <v>636</v>
      </c>
      <c r="B12" s="233" t="s">
        <v>531</v>
      </c>
      <c r="C12" s="237" t="s">
        <v>4</v>
      </c>
      <c r="D12" s="327">
        <v>22.7</v>
      </c>
      <c r="E12" s="397"/>
      <c r="F12" s="231">
        <f>E12*D12</f>
        <v>0</v>
      </c>
      <c r="G12" s="215"/>
    </row>
    <row r="13" spans="1:7">
      <c r="A13" s="232"/>
      <c r="B13" s="233"/>
      <c r="C13" s="237"/>
      <c r="D13" s="327"/>
      <c r="E13" s="397"/>
      <c r="F13" s="231"/>
      <c r="G13" s="215"/>
    </row>
    <row r="14" spans="1:7" ht="357">
      <c r="A14" s="232" t="s">
        <v>12</v>
      </c>
      <c r="B14" s="233" t="s">
        <v>744</v>
      </c>
      <c r="C14" s="237"/>
      <c r="D14" s="327"/>
      <c r="E14" s="397"/>
      <c r="F14" s="231"/>
      <c r="G14" s="215"/>
    </row>
    <row r="15" spans="1:7">
      <c r="A15" s="232" t="s">
        <v>586</v>
      </c>
      <c r="B15" s="233" t="s">
        <v>745</v>
      </c>
      <c r="C15" s="237" t="s">
        <v>4</v>
      </c>
      <c r="D15" s="327">
        <f>13.1*1.8*2+0.34</f>
        <v>47.5</v>
      </c>
      <c r="E15" s="397"/>
      <c r="F15" s="231">
        <f t="shared" ref="F15:F18" si="0">E15*D15</f>
        <v>0</v>
      </c>
    </row>
    <row r="16" spans="1:7">
      <c r="A16" s="232" t="s">
        <v>587</v>
      </c>
      <c r="B16" s="233" t="s">
        <v>556</v>
      </c>
      <c r="C16" s="237" t="s">
        <v>4</v>
      </c>
      <c r="D16" s="327">
        <f>1.2*(0.3*42+0.143*48)*2+0.29</f>
        <v>47.003599999999992</v>
      </c>
      <c r="E16" s="397"/>
      <c r="F16" s="231">
        <f t="shared" si="0"/>
        <v>0</v>
      </c>
    </row>
    <row r="17" spans="1:7">
      <c r="A17" s="232" t="s">
        <v>588</v>
      </c>
      <c r="B17" s="233" t="s">
        <v>557</v>
      </c>
      <c r="C17" s="237" t="s">
        <v>4</v>
      </c>
      <c r="D17" s="327">
        <f>1.35*2.5*6*2+0.5</f>
        <v>41</v>
      </c>
      <c r="E17" s="397"/>
      <c r="F17" s="231">
        <f t="shared" si="0"/>
        <v>0</v>
      </c>
    </row>
    <row r="18" spans="1:7">
      <c r="A18" s="232" t="s">
        <v>589</v>
      </c>
      <c r="B18" s="233" t="s">
        <v>558</v>
      </c>
      <c r="C18" s="237" t="s">
        <v>4</v>
      </c>
      <c r="D18" s="327">
        <f>3.93*18.6+0.9</f>
        <v>73.998000000000019</v>
      </c>
      <c r="E18" s="397"/>
      <c r="F18" s="231">
        <f t="shared" si="0"/>
        <v>0</v>
      </c>
    </row>
    <row r="19" spans="1:7">
      <c r="A19" s="232"/>
      <c r="B19" s="233"/>
      <c r="C19" s="237"/>
      <c r="D19" s="327"/>
      <c r="E19" s="397"/>
      <c r="F19" s="231"/>
      <c r="G19" s="215"/>
    </row>
    <row r="20" spans="1:7" ht="76.5">
      <c r="A20" s="232" t="s">
        <v>13</v>
      </c>
      <c r="B20" s="233" t="s">
        <v>673</v>
      </c>
      <c r="D20" s="214"/>
      <c r="E20" s="397"/>
      <c r="F20" s="214"/>
      <c r="G20" s="215"/>
    </row>
    <row r="21" spans="1:7">
      <c r="A21" s="232" t="s">
        <v>586</v>
      </c>
      <c r="B21" s="233" t="s">
        <v>529</v>
      </c>
      <c r="C21" s="237" t="s">
        <v>4</v>
      </c>
      <c r="D21" s="327">
        <v>81</v>
      </c>
      <c r="E21" s="397"/>
      <c r="F21" s="231">
        <f>E21*D21</f>
        <v>0</v>
      </c>
      <c r="G21" s="215"/>
    </row>
    <row r="22" spans="1:7">
      <c r="A22" s="232" t="s">
        <v>587</v>
      </c>
      <c r="B22" s="233" t="s">
        <v>531</v>
      </c>
      <c r="C22" s="237" t="s">
        <v>4</v>
      </c>
      <c r="D22" s="327">
        <v>81</v>
      </c>
      <c r="E22" s="397"/>
      <c r="F22" s="231">
        <f t="shared" ref="F22" si="1">E22*D22</f>
        <v>0</v>
      </c>
      <c r="G22" s="215"/>
    </row>
    <row r="23" spans="1:7">
      <c r="A23" s="222"/>
      <c r="B23" s="235"/>
      <c r="C23" s="398"/>
      <c r="D23" s="361"/>
      <c r="E23" s="399"/>
      <c r="F23" s="400"/>
    </row>
    <row r="24" spans="1:7" ht="13.5">
      <c r="A24" s="238"/>
      <c r="B24" s="239"/>
      <c r="C24" s="306"/>
      <c r="D24" s="225"/>
      <c r="F24" s="401"/>
    </row>
    <row r="25" spans="1:7" ht="13.5">
      <c r="A25" s="222"/>
      <c r="B25" s="243" t="s">
        <v>284</v>
      </c>
      <c r="D25" s="244"/>
      <c r="E25" s="245"/>
      <c r="F25" s="281">
        <f>SUM(F6:F23)</f>
        <v>0</v>
      </c>
    </row>
    <row r="27" spans="1:7">
      <c r="B27" s="362"/>
    </row>
    <row r="28" spans="1:7">
      <c r="B28" s="314"/>
    </row>
  </sheetData>
  <sheetProtection algorithmName="SHA-512" hashValue="+2A2ZmkYWGpWhwNrFe9awJf+i2qqQX8pkEhES+TE9aApiOxUrJIaem3BGP6fAj7lIXoWsL7xpUKVulP95xyx3g==" saltValue="Qalseb+/gSwi+fyE15hpqA=="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2">
    <tabColor rgb="FFFFFF00"/>
  </sheetPr>
  <dimension ref="A1:F81"/>
  <sheetViews>
    <sheetView view="pageBreakPreview"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14" customWidth="1"/>
    <col min="4" max="4" width="8" style="267" customWidth="1"/>
    <col min="5" max="5" width="9.140625" style="267"/>
    <col min="6" max="6" width="11.5703125" style="267" customWidth="1"/>
    <col min="7" max="16384" width="9.140625" style="214"/>
  </cols>
  <sheetData>
    <row r="1" spans="1:6">
      <c r="A1" s="207" t="s">
        <v>35</v>
      </c>
      <c r="B1" s="208" t="s">
        <v>230</v>
      </c>
      <c r="C1" s="253"/>
      <c r="D1" s="254"/>
      <c r="E1" s="254"/>
      <c r="F1" s="255"/>
    </row>
    <row r="2" spans="1:6" ht="4.5" customHeight="1">
      <c r="A2" s="258"/>
      <c r="B2" s="258"/>
      <c r="C2" s="212"/>
      <c r="D2" s="213"/>
      <c r="E2" s="213"/>
      <c r="F2" s="213"/>
    </row>
    <row r="3" spans="1:6" ht="25.5">
      <c r="A3" s="216" t="s">
        <v>36</v>
      </c>
      <c r="B3" s="217" t="s">
        <v>0</v>
      </c>
      <c r="C3" s="218" t="s">
        <v>3</v>
      </c>
      <c r="D3" s="219" t="s">
        <v>1</v>
      </c>
      <c r="E3" s="220" t="s">
        <v>2</v>
      </c>
      <c r="F3" s="221" t="s">
        <v>163</v>
      </c>
    </row>
    <row r="4" spans="1:6">
      <c r="A4" s="222"/>
      <c r="B4" s="285"/>
      <c r="C4" s="339"/>
      <c r="D4" s="244"/>
      <c r="E4" s="245"/>
      <c r="F4" s="245"/>
    </row>
    <row r="5" spans="1:6" ht="78" customHeight="1">
      <c r="A5" s="222"/>
      <c r="B5" s="443" t="s">
        <v>559</v>
      </c>
      <c r="C5" s="443"/>
      <c r="D5" s="443"/>
      <c r="E5" s="443"/>
      <c r="F5" s="443"/>
    </row>
    <row r="6" spans="1:6">
      <c r="A6" s="222"/>
      <c r="B6" s="235"/>
      <c r="C6" s="226"/>
      <c r="D6" s="236"/>
      <c r="E6" s="245"/>
      <c r="F6" s="231"/>
    </row>
    <row r="7" spans="1:6" ht="105" customHeight="1">
      <c r="A7" s="227">
        <f>MAX($A$5:A6)+1</f>
        <v>1</v>
      </c>
      <c r="B7" s="235" t="s">
        <v>564</v>
      </c>
      <c r="D7" s="214"/>
      <c r="E7" s="214"/>
      <c r="F7" s="214"/>
    </row>
    <row r="8" spans="1:6">
      <c r="A8" s="222" t="s">
        <v>586</v>
      </c>
      <c r="B8" s="235" t="s">
        <v>400</v>
      </c>
      <c r="C8" s="237" t="s">
        <v>4</v>
      </c>
      <c r="D8" s="230">
        <f>3.32*(4.83+0.7+0.7+4+2.9+0.35+5.25+5.25+4.8)+1.45</f>
        <v>96.999600000000001</v>
      </c>
      <c r="E8" s="225"/>
      <c r="F8" s="231">
        <f>E8*D15</f>
        <v>0</v>
      </c>
    </row>
    <row r="9" spans="1:6">
      <c r="A9" s="227" t="s">
        <v>587</v>
      </c>
      <c r="B9" s="235" t="s">
        <v>236</v>
      </c>
      <c r="C9" s="237" t="s">
        <v>4</v>
      </c>
      <c r="D9" s="404">
        <f>3.62*(4.8+2.8+0.35*3+1+4.4+5.25+5.25+4.8)+1.08+1.67</f>
        <v>108.997</v>
      </c>
      <c r="E9" s="225"/>
      <c r="F9" s="231">
        <f>E9*D16</f>
        <v>0</v>
      </c>
    </row>
    <row r="10" spans="1:6">
      <c r="A10" s="232" t="s">
        <v>588</v>
      </c>
      <c r="B10" s="235" t="s">
        <v>531</v>
      </c>
      <c r="C10" s="237" t="s">
        <v>4</v>
      </c>
      <c r="D10" s="236">
        <f>3.62*(5.3+5.3+5.25+5.25+5.25+4.8)+1.24</f>
        <v>114.003</v>
      </c>
      <c r="E10" s="225"/>
      <c r="F10" s="231">
        <f>E10*D17</f>
        <v>0</v>
      </c>
    </row>
    <row r="11" spans="1:6">
      <c r="A11" s="222"/>
      <c r="B11" s="235"/>
      <c r="C11" s="237"/>
      <c r="D11" s="236"/>
      <c r="E11" s="225"/>
      <c r="F11" s="231"/>
    </row>
    <row r="12" spans="1:6" ht="105" customHeight="1">
      <c r="A12" s="227">
        <f>MAX($A$5:A11)+1</f>
        <v>2</v>
      </c>
      <c r="B12" s="235" t="s">
        <v>572</v>
      </c>
      <c r="C12" s="237" t="s">
        <v>4</v>
      </c>
      <c r="D12" s="236">
        <f>(1.43*2+3.62*2*0.35+3.62*0.35*4+2.6)*2+0.88+13</f>
        <v>40.003999999999998</v>
      </c>
      <c r="E12" s="225"/>
      <c r="F12" s="231">
        <f>E12*D19</f>
        <v>0</v>
      </c>
    </row>
    <row r="13" spans="1:6">
      <c r="A13" s="222"/>
      <c r="B13" s="235"/>
      <c r="C13" s="237"/>
      <c r="D13" s="236"/>
      <c r="E13" s="225"/>
      <c r="F13" s="231"/>
    </row>
    <row r="14" spans="1:6" ht="108" customHeight="1">
      <c r="A14" s="227">
        <f>MAX($A$5:A13)+1</f>
        <v>3</v>
      </c>
      <c r="B14" s="235" t="s">
        <v>565</v>
      </c>
      <c r="D14" s="214"/>
      <c r="E14" s="225"/>
      <c r="F14" s="214"/>
    </row>
    <row r="15" spans="1:6">
      <c r="A15" s="222" t="s">
        <v>586</v>
      </c>
      <c r="B15" s="235" t="s">
        <v>400</v>
      </c>
      <c r="C15" s="237" t="s">
        <v>4</v>
      </c>
      <c r="D15" s="230">
        <f>3.32*(4+5+1.9+1.38+0.18+0.95+0.22+1.6+1.6+0.22+1.6+2.3+0.22+0.85)+1.89</f>
        <v>74.996400000000008</v>
      </c>
      <c r="E15" s="225"/>
      <c r="F15" s="231">
        <f>E15*D8</f>
        <v>0</v>
      </c>
    </row>
    <row r="16" spans="1:6">
      <c r="A16" s="227" t="s">
        <v>587</v>
      </c>
      <c r="B16" s="235" t="s">
        <v>236</v>
      </c>
      <c r="C16" s="237" t="s">
        <v>4</v>
      </c>
      <c r="D16" s="404">
        <f>3.62*(1.6+2.25+0.8+4.1)+1.08+1.24</f>
        <v>33.995000000000005</v>
      </c>
      <c r="E16" s="225"/>
      <c r="F16" s="231">
        <f>E16*D9</f>
        <v>0</v>
      </c>
    </row>
    <row r="17" spans="1:6">
      <c r="A17" s="232" t="s">
        <v>588</v>
      </c>
      <c r="B17" s="235" t="s">
        <v>531</v>
      </c>
      <c r="C17" s="237" t="s">
        <v>4</v>
      </c>
      <c r="D17" s="236">
        <f>3.62*(0.7+2.3+3.2)+1.56</f>
        <v>24.004000000000001</v>
      </c>
      <c r="E17" s="225"/>
      <c r="F17" s="231">
        <f>E17*D10</f>
        <v>0</v>
      </c>
    </row>
    <row r="18" spans="1:6">
      <c r="A18" s="222"/>
      <c r="B18" s="235"/>
      <c r="C18" s="237"/>
      <c r="D18" s="236"/>
      <c r="E18" s="225"/>
      <c r="F18" s="231"/>
    </row>
    <row r="19" spans="1:6" ht="213.75" customHeight="1">
      <c r="A19" s="227">
        <f>MAX($A$5:A18)+1</f>
        <v>4</v>
      </c>
      <c r="B19" s="235" t="s">
        <v>567</v>
      </c>
      <c r="C19" s="237" t="s">
        <v>4</v>
      </c>
      <c r="D19" s="230">
        <f>3.32*(1.15+1.15+1.4+1.6+1.2)+1.42</f>
        <v>23</v>
      </c>
      <c r="E19" s="225"/>
      <c r="F19" s="231">
        <f>E19*D15</f>
        <v>0</v>
      </c>
    </row>
    <row r="20" spans="1:6">
      <c r="A20" s="222"/>
      <c r="B20" s="235"/>
      <c r="D20" s="214"/>
      <c r="E20" s="225"/>
      <c r="F20" s="214"/>
    </row>
    <row r="21" spans="1:6" ht="234" customHeight="1">
      <c r="A21" s="227">
        <f>MAX($A$5:A20)+1</f>
        <v>5</v>
      </c>
      <c r="B21" s="235" t="s">
        <v>566</v>
      </c>
      <c r="D21" s="214"/>
      <c r="E21" s="225"/>
      <c r="F21" s="214"/>
    </row>
    <row r="22" spans="1:6">
      <c r="A22" s="222" t="s">
        <v>586</v>
      </c>
      <c r="B22" s="235" t="s">
        <v>400</v>
      </c>
      <c r="C22" s="237" t="s">
        <v>4</v>
      </c>
      <c r="D22" s="230">
        <f>2.32*2.3*2+1.33</f>
        <v>12.001999999999999</v>
      </c>
      <c r="E22" s="225"/>
      <c r="F22" s="231">
        <f>E22*D17</f>
        <v>0</v>
      </c>
    </row>
    <row r="23" spans="1:6">
      <c r="A23" s="227" t="s">
        <v>587</v>
      </c>
      <c r="B23" s="235" t="s">
        <v>236</v>
      </c>
      <c r="C23" s="237" t="s">
        <v>4</v>
      </c>
      <c r="D23" s="230">
        <f>3.62*(6.05+0.5+1.85+0.65*2+0.82+6.05+6+3.8+2.25*3)+1.11</f>
        <v>121.00440000000002</v>
      </c>
      <c r="E23" s="225"/>
      <c r="F23" s="231">
        <f>E23*D18</f>
        <v>0</v>
      </c>
    </row>
    <row r="24" spans="1:6">
      <c r="A24" s="232" t="s">
        <v>588</v>
      </c>
      <c r="B24" s="235" t="s">
        <v>531</v>
      </c>
      <c r="C24" s="237" t="s">
        <v>4</v>
      </c>
      <c r="D24" s="230">
        <f>3.62*(6.05*2+0.55*2+2.15+4.7+3+0.5+2.9+1.2+5.25+4.65+3.8+4.9+1.85)+1.88</f>
        <v>176.00199999999998</v>
      </c>
      <c r="E24" s="225"/>
      <c r="F24" s="231">
        <f>E24*D19</f>
        <v>0</v>
      </c>
    </row>
    <row r="25" spans="1:6">
      <c r="A25" s="232"/>
      <c r="B25" s="233"/>
      <c r="C25" s="237"/>
      <c r="D25" s="230"/>
      <c r="E25" s="225"/>
      <c r="F25" s="231"/>
    </row>
    <row r="26" spans="1:6" ht="236.25" customHeight="1">
      <c r="A26" s="227">
        <f>MAX($A$5:A25)+1</f>
        <v>6</v>
      </c>
      <c r="B26" s="235" t="s">
        <v>568</v>
      </c>
      <c r="C26" s="237"/>
      <c r="D26" s="230"/>
      <c r="E26" s="225"/>
      <c r="F26" s="231"/>
    </row>
    <row r="27" spans="1:6">
      <c r="A27" s="232" t="s">
        <v>586</v>
      </c>
      <c r="B27" s="235" t="s">
        <v>236</v>
      </c>
      <c r="C27" s="237" t="s">
        <v>4</v>
      </c>
      <c r="D27" s="230">
        <f>3.62*(5.25+2)+1.75</f>
        <v>27.995000000000001</v>
      </c>
      <c r="E27" s="225"/>
      <c r="F27" s="231">
        <f>E27*D22</f>
        <v>0</v>
      </c>
    </row>
    <row r="28" spans="1:6">
      <c r="A28" s="232" t="s">
        <v>587</v>
      </c>
      <c r="B28" s="235" t="s">
        <v>531</v>
      </c>
      <c r="C28" s="237" t="s">
        <v>4</v>
      </c>
      <c r="D28" s="230">
        <f>3.62*(2.05+5.35+4.2)+1.01</f>
        <v>43.001999999999995</v>
      </c>
      <c r="E28" s="225"/>
      <c r="F28" s="231">
        <f>E28*D23</f>
        <v>0</v>
      </c>
    </row>
    <row r="29" spans="1:6">
      <c r="A29" s="232"/>
      <c r="B29" s="233"/>
      <c r="C29" s="237"/>
      <c r="D29" s="230"/>
      <c r="E29" s="225"/>
      <c r="F29" s="231"/>
    </row>
    <row r="30" spans="1:6" ht="314.25" customHeight="1">
      <c r="A30" s="227">
        <f>MAX($A$5:A29)+1</f>
        <v>7</v>
      </c>
      <c r="B30" s="235" t="s">
        <v>733</v>
      </c>
      <c r="C30" s="237"/>
      <c r="D30" s="230"/>
      <c r="E30" s="225"/>
      <c r="F30" s="231"/>
    </row>
    <row r="31" spans="1:6">
      <c r="A31" s="227" t="s">
        <v>586</v>
      </c>
      <c r="B31" s="235" t="s">
        <v>236</v>
      </c>
      <c r="C31" s="237" t="s">
        <v>4</v>
      </c>
      <c r="D31" s="230">
        <f>3.62*(4.7)+0.99</f>
        <v>18.004000000000001</v>
      </c>
      <c r="E31" s="225"/>
      <c r="F31" s="231">
        <f>E31*D26</f>
        <v>0</v>
      </c>
    </row>
    <row r="32" spans="1:6">
      <c r="A32" s="232"/>
      <c r="B32" s="233"/>
      <c r="C32" s="237"/>
      <c r="D32" s="230"/>
      <c r="E32" s="225"/>
      <c r="F32" s="231"/>
    </row>
    <row r="33" spans="1:6" ht="314.25" customHeight="1">
      <c r="A33" s="227">
        <f>MAX($A$5:A32)+1</f>
        <v>8</v>
      </c>
      <c r="B33" s="235" t="s">
        <v>569</v>
      </c>
      <c r="C33" s="237"/>
      <c r="D33" s="230"/>
      <c r="E33" s="225"/>
      <c r="F33" s="231"/>
    </row>
    <row r="34" spans="1:6">
      <c r="A34" s="227" t="s">
        <v>586</v>
      </c>
      <c r="B34" s="235" t="s">
        <v>236</v>
      </c>
      <c r="C34" s="237" t="s">
        <v>4</v>
      </c>
      <c r="D34" s="230">
        <f>3.62*(5.7+1)+0.75</f>
        <v>25.004000000000001</v>
      </c>
      <c r="E34" s="225"/>
      <c r="F34" s="231">
        <f>E34*D30</f>
        <v>0</v>
      </c>
    </row>
    <row r="35" spans="1:6">
      <c r="A35" s="232" t="s">
        <v>587</v>
      </c>
      <c r="B35" s="235" t="s">
        <v>531</v>
      </c>
      <c r="C35" s="237" t="s">
        <v>4</v>
      </c>
      <c r="D35" s="230">
        <f>3.62*(7.6)+0.49</f>
        <v>28.001999999999999</v>
      </c>
      <c r="E35" s="225"/>
      <c r="F35" s="231">
        <f>E35*D31</f>
        <v>0</v>
      </c>
    </row>
    <row r="36" spans="1:6">
      <c r="A36" s="232"/>
      <c r="B36" s="235"/>
      <c r="C36" s="237"/>
      <c r="D36" s="230"/>
      <c r="E36" s="225"/>
      <c r="F36" s="231"/>
    </row>
    <row r="37" spans="1:6" ht="314.25" customHeight="1">
      <c r="A37" s="227">
        <f>MAX($A$5:A36)+1</f>
        <v>9</v>
      </c>
      <c r="B37" s="235" t="s">
        <v>570</v>
      </c>
      <c r="C37" s="237"/>
      <c r="D37" s="230"/>
      <c r="E37" s="225"/>
      <c r="F37" s="231"/>
    </row>
    <row r="38" spans="1:6">
      <c r="A38" s="227" t="s">
        <v>586</v>
      </c>
      <c r="B38" s="235" t="s">
        <v>236</v>
      </c>
      <c r="C38" s="237" t="s">
        <v>4</v>
      </c>
      <c r="D38" s="230">
        <f>3.62*(3.5)+0.33</f>
        <v>13</v>
      </c>
      <c r="E38" s="225"/>
      <c r="F38" s="231">
        <f>E38*D33</f>
        <v>0</v>
      </c>
    </row>
    <row r="39" spans="1:6">
      <c r="A39" s="232" t="s">
        <v>587</v>
      </c>
      <c r="B39" s="235" t="s">
        <v>531</v>
      </c>
      <c r="C39" s="237" t="s">
        <v>4</v>
      </c>
      <c r="D39" s="230">
        <f>3.62*(3.5)+0.33</f>
        <v>13</v>
      </c>
      <c r="E39" s="225"/>
      <c r="F39" s="231">
        <f>E39*D34</f>
        <v>0</v>
      </c>
    </row>
    <row r="40" spans="1:6">
      <c r="A40" s="232"/>
      <c r="B40" s="235"/>
      <c r="C40" s="237"/>
      <c r="D40" s="230"/>
      <c r="E40" s="225"/>
      <c r="F40" s="231"/>
    </row>
    <row r="41" spans="1:6" ht="314.25" customHeight="1">
      <c r="A41" s="227">
        <f>MAX($A$5:A40)+1</f>
        <v>10</v>
      </c>
      <c r="B41" s="235" t="s">
        <v>571</v>
      </c>
      <c r="C41" s="237"/>
      <c r="D41" s="230"/>
      <c r="E41" s="225"/>
      <c r="F41" s="231"/>
    </row>
    <row r="42" spans="1:6">
      <c r="A42" s="232"/>
      <c r="B42" s="235" t="s">
        <v>531</v>
      </c>
      <c r="C42" s="237" t="s">
        <v>4</v>
      </c>
      <c r="D42" s="230">
        <f>3.62*(3.15)+0.6</f>
        <v>12.003</v>
      </c>
      <c r="E42" s="225"/>
      <c r="F42" s="231">
        <f>E42*D37</f>
        <v>0</v>
      </c>
    </row>
    <row r="43" spans="1:6">
      <c r="A43" s="232"/>
      <c r="B43" s="235"/>
      <c r="C43" s="237"/>
      <c r="D43" s="230"/>
      <c r="E43" s="225"/>
      <c r="F43" s="231"/>
    </row>
    <row r="44" spans="1:6" ht="89.25">
      <c r="A44" s="227">
        <f>MAX($A$5:A43)+1</f>
        <v>11</v>
      </c>
      <c r="B44" s="233" t="s">
        <v>573</v>
      </c>
      <c r="C44" s="237"/>
      <c r="D44" s="230"/>
      <c r="E44" s="225"/>
      <c r="F44" s="231"/>
    </row>
    <row r="45" spans="1:6">
      <c r="A45" s="227" t="s">
        <v>586</v>
      </c>
      <c r="B45" s="233" t="s">
        <v>400</v>
      </c>
      <c r="C45" s="237" t="s">
        <v>4</v>
      </c>
      <c r="D45" s="230">
        <f>17.9+7.7+11.2+7.5+45.8+10.4+38+15.4+10.6+5.2+11.2+7.7+1.4</f>
        <v>189.99999999999997</v>
      </c>
      <c r="E45" s="225"/>
      <c r="F45" s="231">
        <f t="shared" ref="F45:F51" si="0">E45*D45</f>
        <v>0</v>
      </c>
    </row>
    <row r="46" spans="1:6">
      <c r="A46" s="227" t="s">
        <v>587</v>
      </c>
      <c r="B46" s="233" t="s">
        <v>574</v>
      </c>
      <c r="C46" s="237" t="s">
        <v>4</v>
      </c>
      <c r="D46" s="230">
        <f>11.3+4.1+13.8+5.4+6+7.5+1.9+1.2+1.9+1.2+7.6+1.1</f>
        <v>63.000000000000007</v>
      </c>
      <c r="E46" s="225"/>
      <c r="F46" s="231">
        <f t="shared" si="0"/>
        <v>0</v>
      </c>
    </row>
    <row r="47" spans="1:6">
      <c r="A47" s="232" t="s">
        <v>588</v>
      </c>
      <c r="B47" s="233" t="s">
        <v>236</v>
      </c>
      <c r="C47" s="237" t="s">
        <v>4</v>
      </c>
      <c r="D47" s="230">
        <f>5.5+26.2+56.4+8.4+4.9+6.1+4+7.7+42.5+7.7+18.4+1.2</f>
        <v>188.99999999999997</v>
      </c>
      <c r="E47" s="225"/>
      <c r="F47" s="231">
        <f t="shared" si="0"/>
        <v>0</v>
      </c>
    </row>
    <row r="48" spans="1:6">
      <c r="A48" s="232" t="s">
        <v>589</v>
      </c>
      <c r="B48" s="233" t="s">
        <v>575</v>
      </c>
      <c r="C48" s="237" t="s">
        <v>4</v>
      </c>
      <c r="D48" s="230">
        <f>24.9+3.5+4+5.9+0.7</f>
        <v>39</v>
      </c>
      <c r="E48" s="225"/>
      <c r="F48" s="231">
        <f t="shared" si="0"/>
        <v>0</v>
      </c>
    </row>
    <row r="49" spans="1:6">
      <c r="A49" s="232" t="s">
        <v>636</v>
      </c>
      <c r="B49" s="233" t="s">
        <v>531</v>
      </c>
      <c r="C49" s="237" t="s">
        <v>4</v>
      </c>
      <c r="D49" s="230">
        <f>11.6+72.4+8.7+4.7+20.4*2+1.8</f>
        <v>140</v>
      </c>
      <c r="E49" s="225"/>
      <c r="F49" s="231">
        <f t="shared" si="0"/>
        <v>0</v>
      </c>
    </row>
    <row r="50" spans="1:6">
      <c r="A50" s="232" t="s">
        <v>637</v>
      </c>
      <c r="B50" s="233" t="s">
        <v>576</v>
      </c>
      <c r="C50" s="237" t="s">
        <v>4</v>
      </c>
      <c r="D50" s="230">
        <f>25+12.4+3.2+0.4</f>
        <v>41</v>
      </c>
      <c r="E50" s="225"/>
      <c r="F50" s="231">
        <f t="shared" si="0"/>
        <v>0</v>
      </c>
    </row>
    <row r="51" spans="1:6">
      <c r="A51" s="232" t="s">
        <v>638</v>
      </c>
      <c r="B51" s="233" t="s">
        <v>577</v>
      </c>
      <c r="C51" s="237" t="s">
        <v>4</v>
      </c>
      <c r="D51" s="230">
        <f>10*1.8+2</f>
        <v>20</v>
      </c>
      <c r="E51" s="225"/>
      <c r="F51" s="231">
        <f t="shared" si="0"/>
        <v>0</v>
      </c>
    </row>
    <row r="52" spans="1:6">
      <c r="A52" s="232"/>
      <c r="B52" s="233"/>
      <c r="C52" s="237"/>
      <c r="D52" s="230"/>
      <c r="E52" s="225"/>
      <c r="F52" s="231"/>
    </row>
    <row r="53" spans="1:6" ht="92.25" customHeight="1">
      <c r="A53" s="227">
        <f>MAX($A$5:A51)+1</f>
        <v>12</v>
      </c>
      <c r="B53" s="233" t="s">
        <v>774</v>
      </c>
      <c r="C53" s="237" t="s">
        <v>4</v>
      </c>
      <c r="D53" s="230">
        <f>25*18.35-4.05*11.25+1.81</f>
        <v>414.99750000000006</v>
      </c>
      <c r="E53" s="225"/>
      <c r="F53" s="231">
        <f>E53*D53</f>
        <v>0</v>
      </c>
    </row>
    <row r="54" spans="1:6">
      <c r="A54" s="232"/>
      <c r="B54" s="233"/>
      <c r="C54" s="237"/>
      <c r="D54" s="230"/>
      <c r="E54" s="225"/>
      <c r="F54" s="231"/>
    </row>
    <row r="55" spans="1:6" ht="104.25" customHeight="1">
      <c r="A55" s="227">
        <f>MAX($A$5:A54)+1</f>
        <v>13</v>
      </c>
      <c r="B55" s="233" t="s">
        <v>775</v>
      </c>
      <c r="C55" s="237" t="s">
        <v>4</v>
      </c>
      <c r="D55" s="230">
        <v>94</v>
      </c>
      <c r="E55" s="225"/>
      <c r="F55" s="231">
        <f>E55*D55</f>
        <v>0</v>
      </c>
    </row>
    <row r="56" spans="1:6">
      <c r="A56" s="232"/>
      <c r="B56" s="233"/>
      <c r="C56" s="237"/>
      <c r="D56" s="230"/>
      <c r="E56" s="225"/>
      <c r="F56" s="231"/>
    </row>
    <row r="57" spans="1:6" ht="92.25" customHeight="1">
      <c r="A57" s="227">
        <f>MAX($A$5:A56)+1</f>
        <v>14</v>
      </c>
      <c r="B57" s="233" t="s">
        <v>578</v>
      </c>
      <c r="C57" s="237" t="s">
        <v>4</v>
      </c>
      <c r="D57" s="230">
        <f>13.8+25.6+23.4+16.7+12.2+23.2+8.5+11+4.6+1</f>
        <v>140</v>
      </c>
      <c r="E57" s="225"/>
      <c r="F57" s="231">
        <f>E57*D57</f>
        <v>0</v>
      </c>
    </row>
    <row r="58" spans="1:6">
      <c r="A58" s="232"/>
      <c r="B58" s="233"/>
      <c r="C58" s="237"/>
      <c r="D58" s="230"/>
      <c r="E58" s="225"/>
      <c r="F58" s="231"/>
    </row>
    <row r="59" spans="1:6" ht="89.25">
      <c r="A59" s="227">
        <f>MAX($A$5:A58)+1</f>
        <v>15</v>
      </c>
      <c r="B59" s="233" t="s">
        <v>799</v>
      </c>
      <c r="C59" s="237" t="s">
        <v>4</v>
      </c>
      <c r="D59" s="230">
        <f>740+1.7*17+1.1</f>
        <v>770</v>
      </c>
      <c r="E59" s="225"/>
      <c r="F59" s="231">
        <f>E59*D59</f>
        <v>0</v>
      </c>
    </row>
    <row r="60" spans="1:6">
      <c r="A60" s="227"/>
      <c r="B60" s="233"/>
      <c r="C60" s="237"/>
      <c r="D60" s="230"/>
      <c r="E60" s="225"/>
      <c r="F60" s="231"/>
    </row>
    <row r="61" spans="1:6" ht="102">
      <c r="A61" s="227">
        <f>MAX($A$5:A60)+1</f>
        <v>16</v>
      </c>
      <c r="B61" s="233" t="s">
        <v>581</v>
      </c>
      <c r="C61" s="237"/>
      <c r="D61" s="230"/>
      <c r="E61" s="225"/>
      <c r="F61" s="231"/>
    </row>
    <row r="62" spans="1:6">
      <c r="A62" s="227" t="s">
        <v>586</v>
      </c>
      <c r="B62" s="233" t="s">
        <v>579</v>
      </c>
      <c r="C62" s="237" t="s">
        <v>5</v>
      </c>
      <c r="D62" s="230">
        <f>5.7*24*4*0.25*0.08+0.06</f>
        <v>11.004000000000001</v>
      </c>
      <c r="E62" s="225"/>
      <c r="F62" s="231">
        <f t="shared" ref="F62:F63" si="1">E62*D62</f>
        <v>0</v>
      </c>
    </row>
    <row r="63" spans="1:6">
      <c r="A63" s="227" t="s">
        <v>587</v>
      </c>
      <c r="B63" s="391" t="s">
        <v>580</v>
      </c>
      <c r="C63" s="237" t="s">
        <v>5</v>
      </c>
      <c r="D63" s="230">
        <f>0.12*0.05*6.1*24*2+0.24</f>
        <v>1.9968000000000001</v>
      </c>
      <c r="E63" s="225"/>
      <c r="F63" s="231">
        <f t="shared" si="1"/>
        <v>0</v>
      </c>
    </row>
    <row r="64" spans="1:6">
      <c r="A64" s="227"/>
      <c r="B64" s="391"/>
      <c r="C64" s="237"/>
      <c r="D64" s="230"/>
      <c r="E64" s="225"/>
      <c r="F64" s="231"/>
    </row>
    <row r="65" spans="1:6" ht="89.25">
      <c r="A65" s="227">
        <f>MAX($A$5:A64)+1</f>
        <v>17</v>
      </c>
      <c r="B65" s="391" t="s">
        <v>800</v>
      </c>
      <c r="C65" s="237" t="s">
        <v>4</v>
      </c>
      <c r="D65" s="230">
        <f>740+1.7*17+1.1-20</f>
        <v>750</v>
      </c>
      <c r="E65" s="225"/>
      <c r="F65" s="231">
        <f>E65*D65</f>
        <v>0</v>
      </c>
    </row>
    <row r="66" spans="1:6">
      <c r="A66" s="227"/>
      <c r="B66" s="391"/>
      <c r="C66" s="237"/>
      <c r="D66" s="230"/>
      <c r="E66" s="225"/>
      <c r="F66" s="231"/>
    </row>
    <row r="67" spans="1:6" ht="63.75">
      <c r="A67" s="227">
        <f>MAX($A$5:A66)+1</f>
        <v>18</v>
      </c>
      <c r="B67" s="391" t="s">
        <v>801</v>
      </c>
      <c r="C67" s="237" t="s">
        <v>4</v>
      </c>
      <c r="D67" s="230">
        <f>740+1.7*17+1.1-20</f>
        <v>750</v>
      </c>
      <c r="E67" s="225"/>
      <c r="F67" s="231">
        <f>E67*D67</f>
        <v>0</v>
      </c>
    </row>
    <row r="68" spans="1:6">
      <c r="A68" s="227"/>
      <c r="B68" s="391"/>
      <c r="C68" s="237"/>
      <c r="D68" s="230"/>
      <c r="E68" s="225"/>
      <c r="F68" s="231"/>
    </row>
    <row r="69" spans="1:6" ht="63.75">
      <c r="A69" s="227">
        <f>MAX($A$5:A68)+1</f>
        <v>19</v>
      </c>
      <c r="B69" s="391" t="s">
        <v>641</v>
      </c>
      <c r="C69" s="237" t="s">
        <v>4</v>
      </c>
      <c r="D69" s="230">
        <v>20</v>
      </c>
      <c r="E69" s="225"/>
      <c r="F69" s="231">
        <f>E69*D69</f>
        <v>0</v>
      </c>
    </row>
    <row r="70" spans="1:6">
      <c r="A70" s="227"/>
      <c r="B70" s="391"/>
      <c r="C70" s="237"/>
      <c r="D70" s="230"/>
      <c r="E70" s="225"/>
      <c r="F70" s="231"/>
    </row>
    <row r="71" spans="1:6" ht="89.25">
      <c r="A71" s="227">
        <f>MAX($A$5:A70)+1</f>
        <v>20</v>
      </c>
      <c r="B71" s="391" t="s">
        <v>640</v>
      </c>
      <c r="D71" s="214"/>
      <c r="E71" s="225"/>
      <c r="F71" s="214"/>
    </row>
    <row r="72" spans="1:6">
      <c r="A72" s="227" t="s">
        <v>586</v>
      </c>
      <c r="B72" s="391" t="s">
        <v>236</v>
      </c>
      <c r="C72" s="237" t="s">
        <v>4</v>
      </c>
      <c r="D72" s="230">
        <f>16.5+89.2+60.9+61+56.4+1</f>
        <v>285</v>
      </c>
      <c r="E72" s="225"/>
      <c r="F72" s="231">
        <f>E72*D72</f>
        <v>0</v>
      </c>
    </row>
    <row r="73" spans="1:6">
      <c r="A73" s="227" t="s">
        <v>587</v>
      </c>
      <c r="B73" s="391" t="s">
        <v>531</v>
      </c>
      <c r="C73" s="237" t="s">
        <v>4</v>
      </c>
      <c r="D73" s="230">
        <f>61+60.9+58.7+10.4+9.6+10.3+20.1+4.9+72.4+1.7</f>
        <v>310.00000000000006</v>
      </c>
      <c r="E73" s="225"/>
      <c r="F73" s="231">
        <f>E73*D73</f>
        <v>0</v>
      </c>
    </row>
    <row r="74" spans="1:6">
      <c r="A74" s="227"/>
      <c r="B74" s="391"/>
      <c r="C74" s="237"/>
      <c r="D74" s="230"/>
      <c r="E74" s="225"/>
      <c r="F74" s="231"/>
    </row>
    <row r="75" spans="1:6" ht="38.25" customHeight="1">
      <c r="A75" s="227">
        <f>MAX($A$5:A74)+1</f>
        <v>21</v>
      </c>
      <c r="B75" s="391" t="s">
        <v>704</v>
      </c>
      <c r="C75" s="237" t="s">
        <v>175</v>
      </c>
      <c r="D75" s="230">
        <v>12</v>
      </c>
      <c r="E75" s="225"/>
      <c r="F75" s="231">
        <f>E75*D75</f>
        <v>0</v>
      </c>
    </row>
    <row r="76" spans="1:6">
      <c r="A76" s="222"/>
      <c r="B76" s="235"/>
      <c r="C76" s="226"/>
      <c r="D76" s="236"/>
      <c r="F76" s="231"/>
    </row>
    <row r="77" spans="1:6">
      <c r="A77" s="238"/>
      <c r="B77" s="239"/>
      <c r="C77" s="240"/>
      <c r="D77" s="241"/>
      <c r="E77" s="213"/>
      <c r="F77" s="242"/>
    </row>
    <row r="78" spans="1:6" ht="13.5">
      <c r="A78" s="222"/>
      <c r="B78" s="243" t="s">
        <v>231</v>
      </c>
      <c r="D78" s="244"/>
      <c r="E78" s="245"/>
      <c r="F78" s="281">
        <f>SUM(F7:F76)</f>
        <v>0</v>
      </c>
    </row>
    <row r="81" spans="2:2">
      <c r="B81" s="314"/>
    </row>
  </sheetData>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3">
    <tabColor rgb="FFFFFF00"/>
  </sheetPr>
  <dimension ref="A1:H29"/>
  <sheetViews>
    <sheetView view="pageBreakPreview" zoomScaleNormal="100" zoomScaleSheetLayoutView="100" workbookViewId="0">
      <selection activeCell="B23" sqref="B23"/>
    </sheetView>
  </sheetViews>
  <sheetFormatPr defaultColWidth="9.140625" defaultRowHeight="12.75"/>
  <cols>
    <col min="1" max="1" width="5.85546875" style="215" customWidth="1"/>
    <col min="2" max="2" width="46.85546875" style="215" customWidth="1"/>
    <col min="3" max="3" width="6.140625" style="215" customWidth="1"/>
    <col min="4" max="4" width="8" style="248" customWidth="1"/>
    <col min="5" max="5" width="9.140625" style="248"/>
    <col min="6" max="6" width="11.5703125" style="248" customWidth="1"/>
    <col min="7" max="16384" width="9.140625" style="215"/>
  </cols>
  <sheetData>
    <row r="1" spans="1:8" s="214" customFormat="1">
      <c r="A1" s="207" t="s">
        <v>286</v>
      </c>
      <c r="B1" s="208" t="s">
        <v>34</v>
      </c>
      <c r="C1" s="253"/>
      <c r="D1" s="254"/>
      <c r="E1" s="254"/>
      <c r="F1" s="255"/>
    </row>
    <row r="2" spans="1:8" s="214" customFormat="1" ht="4.5" customHeight="1">
      <c r="A2" s="258"/>
      <c r="B2" s="258"/>
      <c r="C2" s="212"/>
      <c r="D2" s="213"/>
      <c r="E2" s="213"/>
      <c r="F2" s="213"/>
    </row>
    <row r="3" spans="1:8" s="214" customFormat="1" ht="25.5">
      <c r="A3" s="216" t="s">
        <v>36</v>
      </c>
      <c r="B3" s="217" t="s">
        <v>0</v>
      </c>
      <c r="C3" s="218" t="s">
        <v>3</v>
      </c>
      <c r="D3" s="219" t="s">
        <v>1</v>
      </c>
      <c r="E3" s="220" t="s">
        <v>2</v>
      </c>
      <c r="F3" s="221" t="s">
        <v>163</v>
      </c>
    </row>
    <row r="4" spans="1:8" s="214" customFormat="1">
      <c r="A4" s="222"/>
      <c r="B4" s="285"/>
      <c r="C4" s="339"/>
      <c r="D4" s="244"/>
      <c r="E4" s="245"/>
      <c r="F4" s="245"/>
    </row>
    <row r="5" spans="1:8" s="214" customFormat="1" ht="164.25" customHeight="1">
      <c r="A5" s="222"/>
      <c r="B5" s="443" t="s">
        <v>560</v>
      </c>
      <c r="C5" s="443"/>
      <c r="D5" s="443"/>
      <c r="E5" s="443"/>
      <c r="F5" s="443"/>
    </row>
    <row r="6" spans="1:8" s="214" customFormat="1" ht="117.75" customHeight="1">
      <c r="A6" s="232" t="s">
        <v>11</v>
      </c>
      <c r="B6" s="391" t="s">
        <v>583</v>
      </c>
      <c r="C6" s="367"/>
      <c r="D6" s="367"/>
      <c r="E6" s="389"/>
      <c r="F6" s="367"/>
    </row>
    <row r="7" spans="1:8" s="214" customFormat="1">
      <c r="A7" s="232" t="s">
        <v>586</v>
      </c>
      <c r="B7" s="391" t="s">
        <v>400</v>
      </c>
      <c r="C7" s="320" t="s">
        <v>4</v>
      </c>
      <c r="D7" s="371">
        <f>(2.7+7.25+1+1+8.26+2.7+2.02+1+3.57+3.27+2+1+8.7+1.62+10.7+0.5+1.4+2.6+4+10.6+26.3+2+1.8+3+2.82+0.9+4.36+5.12*2+0.9*3+0.6*4+24+3.3+6.1+5.3+2.2+1.48+7.4+6.5+11+1.48+1.1+7.44+3.3+2.7)*2.65+8.37-90+85</f>
        <v>575.00149999999985</v>
      </c>
      <c r="E7" s="386"/>
      <c r="F7" s="231">
        <f>E7*D7</f>
        <v>0</v>
      </c>
      <c r="G7" s="371"/>
      <c r="H7" s="371"/>
    </row>
    <row r="8" spans="1:8" s="214" customFormat="1">
      <c r="A8" s="232" t="s">
        <v>587</v>
      </c>
      <c r="B8" s="391" t="s">
        <v>236</v>
      </c>
      <c r="C8" s="320" t="s">
        <v>4</v>
      </c>
      <c r="D8" s="371">
        <f>(8.63+3.13+2.37+2.37+2.2+4.6+8.05+8.65+11.27+10.74+15.19+4.3+1.63+0.4+1.93+4.8+10.8+6.25*2+5.1*2+10.8+8.42+21.4+0.6*4+2+12.34)*3.05+40+2.58+40</f>
        <v>634.99600000000009</v>
      </c>
      <c r="E8" s="386"/>
      <c r="F8" s="231">
        <f>E8*D8</f>
        <v>0</v>
      </c>
      <c r="G8" s="371"/>
      <c r="H8" s="371"/>
    </row>
    <row r="9" spans="1:8" s="214" customFormat="1">
      <c r="A9" s="232" t="s">
        <v>588</v>
      </c>
      <c r="B9" s="391" t="s">
        <v>531</v>
      </c>
      <c r="C9" s="320" t="s">
        <v>4</v>
      </c>
      <c r="D9" s="402">
        <f>(9.05+0.7+0.36+0.53+3.62+3.3+0.8+0.6+3.63+0.6*4+5.1*2+10.41+8.42*2+13.6+3.59+5.87+1.2+3.22+8.23+10.61+10.74+8.44+8.08)*3.05+15.14+10</f>
        <v>440.00099999999998</v>
      </c>
      <c r="E9" s="386"/>
      <c r="F9" s="231">
        <f>E9*D9</f>
        <v>0</v>
      </c>
      <c r="G9" s="402"/>
      <c r="H9" s="402"/>
    </row>
    <row r="10" spans="1:8" s="214" customFormat="1">
      <c r="A10" s="232" t="s">
        <v>589</v>
      </c>
      <c r="B10" s="391" t="s">
        <v>582</v>
      </c>
      <c r="C10" s="320" t="s">
        <v>4</v>
      </c>
      <c r="D10" s="402">
        <f>21*2+4*3+5</f>
        <v>59</v>
      </c>
      <c r="E10" s="386"/>
      <c r="F10" s="231">
        <f>E10*D10</f>
        <v>0</v>
      </c>
      <c r="G10" s="402"/>
      <c r="H10" s="402"/>
    </row>
    <row r="11" spans="1:8" s="214" customFormat="1">
      <c r="A11" s="232"/>
      <c r="B11" s="391"/>
      <c r="C11" s="320"/>
      <c r="D11" s="403"/>
      <c r="E11" s="386"/>
      <c r="F11" s="231"/>
    </row>
    <row r="12" spans="1:8" s="214" customFormat="1" ht="104.25" customHeight="1">
      <c r="A12" s="232" t="s">
        <v>12</v>
      </c>
      <c r="B12" s="391" t="s">
        <v>584</v>
      </c>
      <c r="C12" s="320"/>
      <c r="D12" s="403"/>
      <c r="E12" s="386"/>
      <c r="F12" s="231"/>
    </row>
    <row r="13" spans="1:8" s="214" customFormat="1">
      <c r="A13" s="232" t="s">
        <v>586</v>
      </c>
      <c r="B13" s="391" t="s">
        <v>400</v>
      </c>
      <c r="C13" s="320" t="s">
        <v>4</v>
      </c>
      <c r="D13" s="371">
        <f>2.6*(5.05*5+5.3)+10.57</f>
        <v>90</v>
      </c>
      <c r="E13" s="386"/>
      <c r="F13" s="231">
        <f>E13*D13</f>
        <v>0</v>
      </c>
    </row>
    <row r="14" spans="1:8" s="214" customFormat="1">
      <c r="A14" s="232" t="s">
        <v>587</v>
      </c>
      <c r="B14" s="391" t="s">
        <v>236</v>
      </c>
      <c r="C14" s="320" t="s">
        <v>4</v>
      </c>
      <c r="D14" s="371">
        <f>(5.1+4.51+3+4+0.24+3.32+13.5+6.45+4.16+0.74+0.46*2+0.74+0.81+0.91+5.9+2.11+0.64+1.6+2.11)*3.05+14.68</f>
        <v>199.99800000000002</v>
      </c>
      <c r="E14" s="386"/>
      <c r="F14" s="231">
        <f>E14*D14</f>
        <v>0</v>
      </c>
    </row>
    <row r="15" spans="1:8" s="214" customFormat="1">
      <c r="A15" s="232" t="s">
        <v>588</v>
      </c>
      <c r="B15" s="391" t="s">
        <v>531</v>
      </c>
      <c r="C15" s="320" t="s">
        <v>4</v>
      </c>
      <c r="D15" s="402">
        <f>(5.06+0.44+13.52+3.19+5.12+4+2.91+0.49+6.45+3+5+6.21+1.83+0.7+4+4.4+3.11+3.86+3.1+3+10+0.7+2+5.05*5+4+1.5)*3.05+24.34+1</f>
        <v>400.00199999999995</v>
      </c>
      <c r="E15" s="386"/>
      <c r="F15" s="231">
        <f>E15*D15</f>
        <v>0</v>
      </c>
    </row>
    <row r="16" spans="1:8" s="214" customFormat="1">
      <c r="A16" s="232"/>
      <c r="B16" s="391"/>
      <c r="C16" s="320"/>
      <c r="D16" s="403"/>
      <c r="E16" s="386"/>
      <c r="F16" s="231"/>
    </row>
    <row r="17" spans="1:6" s="214" customFormat="1" ht="76.5">
      <c r="A17" s="232" t="s">
        <v>13</v>
      </c>
      <c r="B17" s="391" t="s">
        <v>585</v>
      </c>
      <c r="C17" s="237"/>
      <c r="D17" s="289"/>
      <c r="E17" s="386"/>
      <c r="F17" s="231"/>
    </row>
    <row r="18" spans="1:6" s="214" customFormat="1">
      <c r="A18" s="232" t="s">
        <v>586</v>
      </c>
      <c r="B18" s="391" t="s">
        <v>400</v>
      </c>
      <c r="C18" s="320" t="s">
        <v>4</v>
      </c>
      <c r="D18" s="402">
        <f>'IX.Suhomontažna dela'!D45+'IX.Suhomontažna dela'!D46</f>
        <v>252.99999999999997</v>
      </c>
      <c r="E18" s="386"/>
      <c r="F18" s="231">
        <f>E18*D18</f>
        <v>0</v>
      </c>
    </row>
    <row r="19" spans="1:6" s="214" customFormat="1">
      <c r="A19" s="232" t="s">
        <v>587</v>
      </c>
      <c r="B19" s="391" t="s">
        <v>236</v>
      </c>
      <c r="C19" s="237" t="s">
        <v>4</v>
      </c>
      <c r="D19" s="230">
        <f>'IX.Suhomontažna dela'!D47+'IX.Suhomontažna dela'!D48+'IX.Suhomontažna dela'!D51</f>
        <v>247.99999999999997</v>
      </c>
      <c r="E19" s="386"/>
      <c r="F19" s="231">
        <f>E19*D19</f>
        <v>0</v>
      </c>
    </row>
    <row r="20" spans="1:6" s="214" customFormat="1">
      <c r="A20" s="232" t="s">
        <v>588</v>
      </c>
      <c r="B20" s="391" t="s">
        <v>531</v>
      </c>
      <c r="C20" s="237" t="s">
        <v>4</v>
      </c>
      <c r="D20" s="230">
        <f>'IX.Suhomontažna dela'!D49+'IX.Suhomontažna dela'!D50</f>
        <v>181</v>
      </c>
      <c r="E20" s="386"/>
      <c r="F20" s="231">
        <f>E20*D20</f>
        <v>0</v>
      </c>
    </row>
    <row r="21" spans="1:6" s="214" customFormat="1">
      <c r="A21" s="232" t="s">
        <v>589</v>
      </c>
      <c r="B21" s="391" t="s">
        <v>582</v>
      </c>
      <c r="C21" s="237" t="s">
        <v>4</v>
      </c>
      <c r="D21" s="230">
        <v>94</v>
      </c>
      <c r="E21" s="386"/>
      <c r="F21" s="231">
        <f>E21*D21</f>
        <v>0</v>
      </c>
    </row>
    <row r="22" spans="1:6" s="214" customFormat="1">
      <c r="A22" s="232"/>
      <c r="B22" s="391"/>
      <c r="C22" s="237"/>
      <c r="D22" s="230"/>
      <c r="E22" s="386"/>
      <c r="F22" s="231"/>
    </row>
    <row r="23" spans="1:6" s="214" customFormat="1" ht="38.25">
      <c r="A23" s="232" t="s">
        <v>37</v>
      </c>
      <c r="B23" s="391" t="s">
        <v>698</v>
      </c>
      <c r="C23" s="237" t="s">
        <v>4</v>
      </c>
      <c r="D23" s="230">
        <f>12.2*7.2+2.16</f>
        <v>90</v>
      </c>
      <c r="E23" s="386"/>
      <c r="F23" s="231">
        <f>E23*D23</f>
        <v>0</v>
      </c>
    </row>
    <row r="24" spans="1:6">
      <c r="A24" s="282"/>
      <c r="B24" s="301"/>
      <c r="C24" s="302"/>
      <c r="D24" s="303"/>
      <c r="E24" s="304"/>
      <c r="F24" s="305"/>
    </row>
    <row r="25" spans="1:6">
      <c r="A25" s="376"/>
      <c r="B25" s="333"/>
      <c r="C25" s="334"/>
      <c r="D25" s="377"/>
      <c r="F25" s="336"/>
    </row>
    <row r="26" spans="1:6" s="214" customFormat="1" ht="13.5">
      <c r="A26" s="222"/>
      <c r="B26" s="243" t="s">
        <v>221</v>
      </c>
      <c r="D26" s="244"/>
      <c r="E26" s="245"/>
      <c r="F26" s="281">
        <f>SUM(F7:F24)</f>
        <v>0</v>
      </c>
    </row>
    <row r="28" spans="1:6">
      <c r="B28" s="307"/>
    </row>
    <row r="29" spans="1:6">
      <c r="B29" s="247"/>
    </row>
  </sheetData>
  <sheetProtection algorithmName="SHA-512" hashValue="ShPtBmBvQrJDnqC75yri4QbLpvEOQ6h+Ezrl3I/hte2svJM6q1buiZ9vJfhAOJAbq8mONfT9GWHP3oIHzlsjTw==" saltValue="abptcofFwY/yQ89chPMrrw=="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rowBreaks count="1" manualBreakCount="1">
    <brk id="21"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List24">
    <tabColor rgb="FFFFFF00"/>
  </sheetPr>
  <dimension ref="A1:F58"/>
  <sheetViews>
    <sheetView view="pageBreakPreview"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14" customWidth="1"/>
    <col min="4" max="4" width="8" style="267" customWidth="1"/>
    <col min="5" max="5" width="9.140625" style="267"/>
    <col min="6" max="6" width="11.5703125" style="267" customWidth="1"/>
    <col min="7" max="16384" width="9.140625" style="214"/>
  </cols>
  <sheetData>
    <row r="1" spans="1:6">
      <c r="A1" s="207" t="s">
        <v>235</v>
      </c>
      <c r="B1" s="208" t="s">
        <v>32</v>
      </c>
      <c r="C1" s="253"/>
      <c r="D1" s="254"/>
      <c r="E1" s="254"/>
      <c r="F1" s="255"/>
    </row>
    <row r="2" spans="1:6" ht="4.5" customHeight="1">
      <c r="A2" s="258"/>
      <c r="B2" s="258"/>
      <c r="C2" s="212"/>
      <c r="D2" s="213"/>
      <c r="E2" s="213"/>
      <c r="F2" s="213"/>
    </row>
    <row r="3" spans="1:6" ht="27.75" customHeight="1">
      <c r="A3" s="216" t="s">
        <v>36</v>
      </c>
      <c r="B3" s="217" t="s">
        <v>0</v>
      </c>
      <c r="C3" s="218" t="s">
        <v>3</v>
      </c>
      <c r="D3" s="219" t="s">
        <v>1</v>
      </c>
      <c r="E3" s="220" t="s">
        <v>2</v>
      </c>
      <c r="F3" s="221" t="s">
        <v>163</v>
      </c>
    </row>
    <row r="4" spans="1:6">
      <c r="A4" s="259"/>
      <c r="B4" s="260"/>
      <c r="C4" s="261"/>
      <c r="D4" s="262"/>
      <c r="E4" s="263"/>
      <c r="F4" s="262"/>
    </row>
    <row r="5" spans="1:6" ht="77.25" customHeight="1">
      <c r="A5" s="259"/>
      <c r="B5" s="443" t="s">
        <v>590</v>
      </c>
      <c r="C5" s="443"/>
      <c r="D5" s="443"/>
      <c r="E5" s="443"/>
      <c r="F5" s="443"/>
    </row>
    <row r="6" spans="1:6">
      <c r="A6" s="259"/>
      <c r="B6" s="389"/>
      <c r="C6" s="389"/>
      <c r="D6" s="389"/>
      <c r="E6" s="389"/>
      <c r="F6" s="389"/>
    </row>
    <row r="7" spans="1:6" ht="153.75" customHeight="1">
      <c r="A7" s="227">
        <f>MAX($A2:A$5)+1</f>
        <v>1</v>
      </c>
      <c r="B7" s="228" t="s">
        <v>671</v>
      </c>
      <c r="C7" s="237" t="s">
        <v>4</v>
      </c>
      <c r="D7" s="230">
        <v>25</v>
      </c>
      <c r="E7" s="225"/>
      <c r="F7" s="231">
        <f>E7*D7</f>
        <v>0</v>
      </c>
    </row>
    <row r="8" spans="1:6">
      <c r="A8" s="259"/>
      <c r="B8" s="389"/>
      <c r="C8" s="389"/>
      <c r="D8" s="389"/>
      <c r="E8" s="225"/>
      <c r="F8" s="389"/>
    </row>
    <row r="9" spans="1:6" ht="153.75" customHeight="1">
      <c r="A9" s="227">
        <f>MAX($A6:A$7)+1</f>
        <v>2</v>
      </c>
      <c r="B9" s="228" t="s">
        <v>599</v>
      </c>
      <c r="C9" s="237" t="s">
        <v>4</v>
      </c>
      <c r="D9" s="230">
        <f>27.5+13.2+30+11+25+10+1.3+2</f>
        <v>120</v>
      </c>
      <c r="E9" s="225"/>
      <c r="F9" s="231">
        <f>E9*D9</f>
        <v>0</v>
      </c>
    </row>
    <row r="10" spans="1:6">
      <c r="A10" s="259"/>
      <c r="B10" s="260"/>
      <c r="C10" s="261"/>
      <c r="D10" s="262"/>
      <c r="E10" s="225"/>
      <c r="F10" s="262"/>
    </row>
    <row r="11" spans="1:6" ht="153.75" customHeight="1">
      <c r="A11" s="227" t="s">
        <v>13</v>
      </c>
      <c r="B11" s="228" t="s">
        <v>600</v>
      </c>
      <c r="C11" s="237" t="s">
        <v>4</v>
      </c>
      <c r="D11" s="230">
        <f>40+4*3+3+83.4+0.6</f>
        <v>139</v>
      </c>
      <c r="E11" s="225"/>
      <c r="F11" s="231">
        <f>E11*D11</f>
        <v>0</v>
      </c>
    </row>
    <row r="12" spans="1:6">
      <c r="A12" s="259"/>
      <c r="B12" s="260"/>
      <c r="C12" s="261"/>
      <c r="D12" s="262"/>
      <c r="E12" s="225"/>
      <c r="F12" s="262"/>
    </row>
    <row r="13" spans="1:6" ht="153.75" customHeight="1">
      <c r="A13" s="227" t="s">
        <v>37</v>
      </c>
      <c r="B13" s="228" t="s">
        <v>591</v>
      </c>
      <c r="C13" s="237" t="s">
        <v>4</v>
      </c>
      <c r="D13" s="230">
        <f>215.8+5.7+6.7+5.9+9+22.4+17.1+2.9+4.4+5+6.1+8+8.3-3.1-1.2-1.5-1.5+303.4+10.9+17.5+17.5+1.7+16+16.3+16+16+16.3+16+6.2+41.8+48.7+43+13.1+7.7+12.1-16-16-16-5.1-6.6-5.1-0.4</f>
        <v>865</v>
      </c>
      <c r="E13" s="225"/>
      <c r="F13" s="231">
        <f>E13*D13</f>
        <v>0</v>
      </c>
    </row>
    <row r="14" spans="1:6">
      <c r="A14" s="232"/>
      <c r="B14" s="228"/>
      <c r="C14" s="237"/>
      <c r="D14" s="230"/>
      <c r="E14" s="225"/>
      <c r="F14" s="231"/>
    </row>
    <row r="15" spans="1:6" ht="154.5" customHeight="1">
      <c r="A15" s="227" t="s">
        <v>38</v>
      </c>
      <c r="B15" s="228" t="s">
        <v>592</v>
      </c>
      <c r="C15" s="237" t="s">
        <v>4</v>
      </c>
      <c r="D15" s="230">
        <f>43.2</f>
        <v>43.2</v>
      </c>
      <c r="E15" s="225"/>
      <c r="F15" s="231">
        <f>E15*D15</f>
        <v>0</v>
      </c>
    </row>
    <row r="16" spans="1:6">
      <c r="A16" s="232"/>
      <c r="B16" s="228"/>
      <c r="C16" s="237"/>
      <c r="D16" s="230"/>
      <c r="E16" s="225"/>
      <c r="F16" s="231"/>
    </row>
    <row r="17" spans="1:6">
      <c r="A17" s="227" t="s">
        <v>39</v>
      </c>
      <c r="B17" s="228" t="s">
        <v>593</v>
      </c>
      <c r="D17" s="214"/>
      <c r="E17" s="225"/>
      <c r="F17" s="214"/>
    </row>
    <row r="18" spans="1:6" ht="190.5" customHeight="1">
      <c r="A18" s="232"/>
      <c r="B18" s="228" t="s">
        <v>674</v>
      </c>
      <c r="C18" s="237"/>
      <c r="D18" s="230"/>
      <c r="E18" s="225"/>
      <c r="F18" s="231"/>
    </row>
    <row r="19" spans="1:6" ht="51">
      <c r="A19" s="232"/>
      <c r="B19" s="228" t="s">
        <v>598</v>
      </c>
      <c r="C19" s="237"/>
      <c r="D19" s="230"/>
      <c r="E19" s="225"/>
      <c r="F19" s="231"/>
    </row>
    <row r="20" spans="1:6" ht="27.75" customHeight="1">
      <c r="A20" s="232"/>
      <c r="B20" s="228" t="s">
        <v>594</v>
      </c>
      <c r="C20" s="237"/>
      <c r="D20" s="230"/>
      <c r="E20" s="225"/>
      <c r="F20" s="231"/>
    </row>
    <row r="21" spans="1:6" ht="25.5">
      <c r="A21" s="232"/>
      <c r="B21" s="228" t="s">
        <v>595</v>
      </c>
      <c r="D21" s="214"/>
      <c r="E21" s="225"/>
      <c r="F21" s="214"/>
    </row>
    <row r="22" spans="1:6" ht="38.25">
      <c r="A22" s="232"/>
      <c r="B22" s="228" t="s">
        <v>597</v>
      </c>
      <c r="C22" s="237"/>
      <c r="D22" s="230"/>
      <c r="E22" s="225"/>
      <c r="F22" s="231"/>
    </row>
    <row r="23" spans="1:6" ht="25.5">
      <c r="A23" s="232"/>
      <c r="B23" s="228" t="s">
        <v>596</v>
      </c>
      <c r="C23" s="237" t="s">
        <v>4</v>
      </c>
      <c r="D23" s="230">
        <f>7.2+3.6+6.3+8.8+7.8+8.3+4.5+8.3+12.8+18.5+15.8+20+16+12.2+25.1+28.1+13.5+17.2+14.1+14+8.6+2.2+3.5+5.2+6.6+2.5+4.5+1.8</f>
        <v>296.99999999999994</v>
      </c>
      <c r="E23" s="225"/>
      <c r="F23" s="231">
        <f>E23*D23</f>
        <v>0</v>
      </c>
    </row>
    <row r="24" spans="1:6" ht="12.6" customHeight="1">
      <c r="A24" s="232"/>
      <c r="B24" s="228"/>
      <c r="C24" s="237"/>
      <c r="D24" s="230"/>
      <c r="E24" s="225"/>
      <c r="F24" s="231"/>
    </row>
    <row r="25" spans="1:6">
      <c r="A25" s="227" t="s">
        <v>40</v>
      </c>
      <c r="B25" s="228" t="s">
        <v>593</v>
      </c>
      <c r="D25" s="214"/>
      <c r="E25" s="225"/>
      <c r="F25" s="214"/>
    </row>
    <row r="26" spans="1:6" ht="190.5" customHeight="1">
      <c r="A26" s="232"/>
      <c r="B26" s="228" t="s">
        <v>674</v>
      </c>
      <c r="C26" s="237"/>
      <c r="D26" s="230"/>
      <c r="E26" s="225"/>
      <c r="F26" s="231"/>
    </row>
    <row r="27" spans="1:6" ht="51">
      <c r="A27" s="232"/>
      <c r="B27" s="228" t="s">
        <v>601</v>
      </c>
      <c r="C27" s="237"/>
      <c r="D27" s="230"/>
      <c r="E27" s="225"/>
      <c r="F27" s="231"/>
    </row>
    <row r="28" spans="1:6" ht="26.25" customHeight="1">
      <c r="A28" s="232"/>
      <c r="B28" s="228" t="s">
        <v>594</v>
      </c>
      <c r="C28" s="237"/>
      <c r="D28" s="230"/>
      <c r="E28" s="225"/>
      <c r="F28" s="231"/>
    </row>
    <row r="29" spans="1:6" ht="25.5">
      <c r="A29" s="232"/>
      <c r="B29" s="228" t="s">
        <v>595</v>
      </c>
      <c r="D29" s="214"/>
      <c r="E29" s="225"/>
      <c r="F29" s="214"/>
    </row>
    <row r="30" spans="1:6" ht="38.25">
      <c r="A30" s="232"/>
      <c r="B30" s="228" t="s">
        <v>597</v>
      </c>
      <c r="C30" s="237"/>
      <c r="D30" s="230"/>
      <c r="E30" s="225"/>
      <c r="F30" s="231"/>
    </row>
    <row r="31" spans="1:6" ht="25.5">
      <c r="A31" s="232"/>
      <c r="B31" s="228" t="s">
        <v>596</v>
      </c>
      <c r="C31" s="237" t="s">
        <v>4</v>
      </c>
      <c r="D31" s="230">
        <f>11.1*2.9+4*2.9+5*2.9+1.71</f>
        <v>60</v>
      </c>
      <c r="E31" s="225"/>
      <c r="F31" s="231">
        <f>E31*D31</f>
        <v>0</v>
      </c>
    </row>
    <row r="32" spans="1:6">
      <c r="A32" s="232"/>
      <c r="B32" s="228"/>
      <c r="C32" s="237"/>
      <c r="D32" s="230"/>
      <c r="E32" s="225"/>
      <c r="F32" s="231"/>
    </row>
    <row r="33" spans="1:6">
      <c r="A33" s="227">
        <v>8</v>
      </c>
      <c r="B33" s="228" t="s">
        <v>605</v>
      </c>
      <c r="D33" s="214"/>
      <c r="E33" s="225"/>
      <c r="F33" s="214"/>
    </row>
    <row r="34" spans="1:6" ht="190.5" customHeight="1">
      <c r="A34" s="232"/>
      <c r="B34" s="228" t="s">
        <v>602</v>
      </c>
      <c r="C34" s="237"/>
      <c r="D34" s="230"/>
      <c r="E34" s="225"/>
      <c r="F34" s="231"/>
    </row>
    <row r="35" spans="1:6" ht="51">
      <c r="A35" s="232"/>
      <c r="B35" s="228" t="s">
        <v>603</v>
      </c>
      <c r="C35" s="237"/>
      <c r="D35" s="230"/>
      <c r="E35" s="225"/>
      <c r="F35" s="231"/>
    </row>
    <row r="36" spans="1:6">
      <c r="A36" s="232"/>
      <c r="B36" s="228" t="s">
        <v>594</v>
      </c>
      <c r="C36" s="237"/>
      <c r="D36" s="230"/>
      <c r="E36" s="225"/>
      <c r="F36" s="231"/>
    </row>
    <row r="37" spans="1:6" ht="25.5">
      <c r="A37" s="232"/>
      <c r="B37" s="228" t="s">
        <v>595</v>
      </c>
      <c r="D37" s="214"/>
      <c r="E37" s="225"/>
      <c r="F37" s="214"/>
    </row>
    <row r="38" spans="1:6" ht="38.25">
      <c r="A38" s="232"/>
      <c r="B38" s="228" t="s">
        <v>597</v>
      </c>
      <c r="C38" s="237"/>
      <c r="D38" s="230"/>
      <c r="E38" s="225"/>
      <c r="F38" s="231"/>
    </row>
    <row r="39" spans="1:6" ht="25.5">
      <c r="A39" s="232"/>
      <c r="B39" s="228" t="s">
        <v>596</v>
      </c>
      <c r="C39" s="237" t="s">
        <v>4</v>
      </c>
      <c r="D39" s="230">
        <f>8.5+23+0.5</f>
        <v>32</v>
      </c>
      <c r="E39" s="225"/>
      <c r="F39" s="231">
        <f>E39*D39</f>
        <v>0</v>
      </c>
    </row>
    <row r="40" spans="1:6">
      <c r="A40" s="232"/>
      <c r="B40" s="228"/>
      <c r="C40" s="237"/>
      <c r="D40" s="230"/>
      <c r="E40" s="225"/>
      <c r="F40" s="231"/>
    </row>
    <row r="41" spans="1:6">
      <c r="A41" s="227" t="s">
        <v>42</v>
      </c>
      <c r="B41" s="228" t="s">
        <v>605</v>
      </c>
      <c r="D41" s="214"/>
      <c r="E41" s="225"/>
      <c r="F41" s="214"/>
    </row>
    <row r="42" spans="1:6" ht="190.5" customHeight="1">
      <c r="A42" s="232"/>
      <c r="B42" s="228" t="s">
        <v>668</v>
      </c>
      <c r="C42" s="237"/>
      <c r="D42" s="230"/>
      <c r="E42" s="225"/>
      <c r="F42" s="231"/>
    </row>
    <row r="43" spans="1:6" ht="25.5">
      <c r="A43" s="232"/>
      <c r="B43" s="228" t="s">
        <v>669</v>
      </c>
      <c r="C43" s="237"/>
      <c r="D43" s="230"/>
      <c r="E43" s="225"/>
      <c r="F43" s="231"/>
    </row>
    <row r="44" spans="1:6" ht="27" customHeight="1">
      <c r="A44" s="232"/>
      <c r="B44" s="228" t="s">
        <v>594</v>
      </c>
      <c r="C44" s="237"/>
      <c r="D44" s="230"/>
      <c r="E44" s="225"/>
      <c r="F44" s="231"/>
    </row>
    <row r="45" spans="1:6">
      <c r="A45" s="232"/>
      <c r="B45" s="228" t="s">
        <v>670</v>
      </c>
      <c r="C45" s="237"/>
      <c r="D45" s="230"/>
      <c r="E45" s="225"/>
      <c r="F45" s="231"/>
    </row>
    <row r="46" spans="1:6" ht="25.5">
      <c r="A46" s="232"/>
      <c r="B46" s="228" t="s">
        <v>596</v>
      </c>
      <c r="C46" s="237" t="s">
        <v>4</v>
      </c>
      <c r="D46" s="230">
        <v>125</v>
      </c>
      <c r="E46" s="225"/>
      <c r="F46" s="231">
        <f>E46*D46</f>
        <v>0</v>
      </c>
    </row>
    <row r="47" spans="1:6">
      <c r="A47" s="232"/>
      <c r="B47" s="228"/>
      <c r="C47" s="237"/>
      <c r="D47" s="230"/>
      <c r="E47" s="225"/>
      <c r="F47" s="231"/>
    </row>
    <row r="48" spans="1:6" ht="63.75">
      <c r="A48" s="227" t="s">
        <v>43</v>
      </c>
      <c r="B48" s="228" t="s">
        <v>285</v>
      </c>
      <c r="C48" s="237" t="s">
        <v>4</v>
      </c>
      <c r="D48" s="276">
        <f>106.1+3.9</f>
        <v>110</v>
      </c>
      <c r="E48" s="225"/>
      <c r="F48" s="231">
        <f>E48*D48</f>
        <v>0</v>
      </c>
    </row>
    <row r="49" spans="1:6">
      <c r="A49" s="227"/>
      <c r="B49" s="228"/>
      <c r="C49" s="237"/>
      <c r="D49" s="276"/>
      <c r="E49" s="225"/>
      <c r="F49" s="231"/>
    </row>
    <row r="50" spans="1:6" ht="51">
      <c r="A50" s="227" t="s">
        <v>45</v>
      </c>
      <c r="B50" s="357" t="s">
        <v>741</v>
      </c>
      <c r="C50" s="229" t="s">
        <v>204</v>
      </c>
      <c r="D50" s="230">
        <f>1.1+5.2+1.6+1.53+1.45+0.9+1.3+2.3+2.3+2.6+2.3+2.6+1.8+0.9+1.1+1.6+1.4+1.15+0.75+1.4+1.6+3+1.8+3+1.8+3.52</f>
        <v>50</v>
      </c>
      <c r="E50" s="225"/>
      <c r="F50" s="231">
        <f>E50*D50</f>
        <v>0</v>
      </c>
    </row>
    <row r="51" spans="1:6">
      <c r="A51" s="227"/>
      <c r="B51" s="357"/>
      <c r="C51" s="229"/>
      <c r="D51" s="230"/>
      <c r="E51" s="225"/>
      <c r="F51" s="231"/>
    </row>
    <row r="52" spans="1:6" ht="25.5">
      <c r="A52" s="227" t="s">
        <v>46</v>
      </c>
      <c r="B52" s="357" t="s">
        <v>749</v>
      </c>
      <c r="C52" s="229" t="s">
        <v>4</v>
      </c>
      <c r="D52" s="230">
        <f>430+747+296+355+12</f>
        <v>1840</v>
      </c>
      <c r="E52" s="225"/>
      <c r="F52" s="231">
        <f>E52*D52</f>
        <v>0</v>
      </c>
    </row>
    <row r="53" spans="1:6">
      <c r="A53" s="222"/>
      <c r="B53" s="223"/>
      <c r="C53" s="360"/>
      <c r="D53" s="395"/>
      <c r="E53" s="347"/>
      <c r="F53" s="347"/>
    </row>
    <row r="54" spans="1:6">
      <c r="A54" s="238"/>
      <c r="B54" s="239"/>
      <c r="C54" s="306"/>
      <c r="D54" s="225"/>
    </row>
    <row r="55" spans="1:6">
      <c r="A55" s="222"/>
      <c r="B55" s="243" t="s">
        <v>604</v>
      </c>
      <c r="D55" s="244"/>
      <c r="E55" s="245"/>
      <c r="F55" s="246">
        <f>SUM(F7:F52)</f>
        <v>0</v>
      </c>
    </row>
    <row r="57" spans="1:6">
      <c r="B57" s="362"/>
    </row>
    <row r="58" spans="1:6">
      <c r="B58" s="228"/>
    </row>
  </sheetData>
  <sheetProtection algorithmName="SHA-512" hashValue="zP9ACLbG1TMTw0lLup4VprzEcPCCb9SyRwRKi7sb1S/V/x4uLj8P8B3nkNhRriniF/fFhqOH+mJN7AHwzlAI+w==" saltValue="2r7sFreAAFlrqPR7Z7d08Q=="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List25">
    <tabColor rgb="FFFFFF00"/>
  </sheetPr>
  <dimension ref="A1:F30"/>
  <sheetViews>
    <sheetView view="pageBreakPreview" zoomScaleNormal="100" zoomScaleSheetLayoutView="100" workbookViewId="0">
      <selection activeCell="B23" sqref="B23"/>
    </sheetView>
  </sheetViews>
  <sheetFormatPr defaultColWidth="9.140625" defaultRowHeight="12.75"/>
  <cols>
    <col min="1" max="1" width="4.85546875" style="214" customWidth="1"/>
    <col min="2" max="2" width="46.85546875" style="214" customWidth="1"/>
    <col min="3" max="3" width="6.140625" style="214" customWidth="1"/>
    <col min="4" max="4" width="9" style="267" customWidth="1"/>
    <col min="5" max="5" width="9.140625" style="267"/>
    <col min="6" max="6" width="11.5703125" style="267" customWidth="1"/>
    <col min="7" max="7" width="8.28515625" style="214" customWidth="1"/>
    <col min="8" max="16384" width="9.140625" style="214"/>
  </cols>
  <sheetData>
    <row r="1" spans="1:6">
      <c r="A1" s="207" t="s">
        <v>608</v>
      </c>
      <c r="B1" s="208" t="s">
        <v>680</v>
      </c>
      <c r="C1" s="253"/>
      <c r="D1" s="254"/>
      <c r="E1" s="254"/>
      <c r="F1" s="255"/>
    </row>
    <row r="2" spans="1:6" ht="4.5" customHeight="1">
      <c r="A2" s="258"/>
      <c r="B2" s="258"/>
      <c r="C2" s="212"/>
      <c r="D2" s="213"/>
      <c r="E2" s="213"/>
      <c r="F2" s="213"/>
    </row>
    <row r="3" spans="1:6" ht="27.75" customHeight="1">
      <c r="A3" s="216" t="s">
        <v>36</v>
      </c>
      <c r="B3" s="217" t="s">
        <v>0</v>
      </c>
      <c r="C3" s="218" t="s">
        <v>3</v>
      </c>
      <c r="D3" s="219" t="s">
        <v>1</v>
      </c>
      <c r="E3" s="220" t="s">
        <v>2</v>
      </c>
      <c r="F3" s="221" t="s">
        <v>163</v>
      </c>
    </row>
    <row r="4" spans="1:6">
      <c r="A4" s="259"/>
      <c r="B4" s="260"/>
      <c r="C4" s="261"/>
      <c r="D4" s="262"/>
      <c r="E4" s="263"/>
      <c r="F4" s="262"/>
    </row>
    <row r="5" spans="1:6" ht="50.25" customHeight="1">
      <c r="A5" s="343">
        <f>MAX($A3:A$4)+1</f>
        <v>1</v>
      </c>
      <c r="B5" s="421" t="s">
        <v>675</v>
      </c>
      <c r="C5" s="229" t="s">
        <v>204</v>
      </c>
      <c r="D5" s="230">
        <f>43*5+42+18</f>
        <v>275</v>
      </c>
      <c r="E5" s="321"/>
      <c r="F5" s="231">
        <f>E5*D5</f>
        <v>0</v>
      </c>
    </row>
    <row r="6" spans="1:6">
      <c r="A6" s="227"/>
      <c r="B6" s="421"/>
      <c r="C6" s="229"/>
      <c r="D6" s="230"/>
      <c r="E6" s="321"/>
      <c r="F6" s="231"/>
    </row>
    <row r="7" spans="1:6" ht="38.25">
      <c r="A7" s="343">
        <f>MAX($A$4:A5)+1</f>
        <v>2</v>
      </c>
      <c r="B7" s="421" t="s">
        <v>676</v>
      </c>
      <c r="C7" s="229" t="s">
        <v>10</v>
      </c>
      <c r="D7" s="230">
        <v>1</v>
      </c>
      <c r="E7" s="321"/>
      <c r="F7" s="231">
        <f>E7*D7</f>
        <v>0</v>
      </c>
    </row>
    <row r="8" spans="1:6">
      <c r="A8" s="343"/>
      <c r="B8" s="421"/>
      <c r="C8" s="229"/>
      <c r="D8" s="230"/>
      <c r="E8" s="321"/>
      <c r="F8" s="231"/>
    </row>
    <row r="9" spans="1:6" ht="38.25">
      <c r="A9" s="343">
        <f>MAX($A$4:A7)+1</f>
        <v>3</v>
      </c>
      <c r="B9" s="391" t="s">
        <v>677</v>
      </c>
      <c r="C9" s="229" t="s">
        <v>175</v>
      </c>
      <c r="D9" s="230">
        <v>1</v>
      </c>
      <c r="E9" s="321"/>
      <c r="F9" s="231">
        <f>E9*D9</f>
        <v>0</v>
      </c>
    </row>
    <row r="10" spans="1:6">
      <c r="A10" s="343"/>
      <c r="B10" s="391"/>
      <c r="C10" s="229"/>
      <c r="D10" s="230"/>
      <c r="E10" s="321"/>
      <c r="F10" s="231"/>
    </row>
    <row r="11" spans="1:6" ht="50.25" customHeight="1">
      <c r="A11" s="343">
        <f>MAX($A$4:A9)+1</f>
        <v>4</v>
      </c>
      <c r="B11" s="421" t="s">
        <v>678</v>
      </c>
      <c r="C11" s="229" t="s">
        <v>4</v>
      </c>
      <c r="D11" s="230">
        <f>12*0.3+0.4</f>
        <v>3.9999999999999996</v>
      </c>
      <c r="E11" s="321"/>
      <c r="F11" s="231">
        <f>E11*D11</f>
        <v>0</v>
      </c>
    </row>
    <row r="12" spans="1:6">
      <c r="A12" s="227"/>
      <c r="B12" s="421"/>
      <c r="C12" s="229"/>
      <c r="D12" s="230"/>
      <c r="E12" s="321"/>
      <c r="F12" s="231"/>
    </row>
    <row r="13" spans="1:6" ht="50.25" customHeight="1">
      <c r="A13" s="343">
        <f>MAX($A$4:A11)+1</f>
        <v>5</v>
      </c>
      <c r="B13" s="421" t="s">
        <v>679</v>
      </c>
      <c r="C13" s="229" t="s">
        <v>4</v>
      </c>
      <c r="D13" s="230">
        <v>0.5</v>
      </c>
      <c r="E13" s="321"/>
      <c r="F13" s="231">
        <f>E13*D13</f>
        <v>0</v>
      </c>
    </row>
    <row r="14" spans="1:6">
      <c r="A14" s="227"/>
      <c r="B14" s="421"/>
      <c r="C14" s="229"/>
      <c r="D14" s="230"/>
      <c r="E14" s="321"/>
      <c r="F14" s="231"/>
    </row>
    <row r="15" spans="1:6" ht="42.75" customHeight="1">
      <c r="A15" s="343">
        <f>MAX($A$4:A13)+1</f>
        <v>6</v>
      </c>
      <c r="B15" s="421" t="s">
        <v>682</v>
      </c>
      <c r="C15" s="229" t="s">
        <v>4</v>
      </c>
      <c r="D15" s="230">
        <f>0.4*8+0.3</f>
        <v>3.5</v>
      </c>
      <c r="E15" s="321"/>
      <c r="F15" s="231">
        <f>E15*D15</f>
        <v>0</v>
      </c>
    </row>
    <row r="16" spans="1:6">
      <c r="A16" s="227"/>
      <c r="B16" s="421"/>
      <c r="C16" s="229"/>
      <c r="D16" s="230"/>
      <c r="E16" s="321"/>
      <c r="F16" s="231"/>
    </row>
    <row r="17" spans="1:6" ht="51">
      <c r="A17" s="343">
        <f>MAX($A$4:A15)+1</f>
        <v>7</v>
      </c>
      <c r="B17" s="366" t="s">
        <v>683</v>
      </c>
      <c r="C17" s="229" t="s">
        <v>175</v>
      </c>
      <c r="D17" s="230">
        <v>3</v>
      </c>
      <c r="E17" s="321"/>
      <c r="F17" s="231">
        <f>E17*D17</f>
        <v>0</v>
      </c>
    </row>
    <row r="18" spans="1:6">
      <c r="A18" s="227"/>
      <c r="B18" s="421"/>
      <c r="C18" s="229"/>
      <c r="D18" s="230"/>
      <c r="E18" s="321"/>
      <c r="F18" s="231"/>
    </row>
    <row r="19" spans="1:6" s="270" customFormat="1" ht="42" customHeight="1">
      <c r="A19" s="343">
        <f>MAX($A$4:A17)+1</f>
        <v>8</v>
      </c>
      <c r="B19" s="366" t="s">
        <v>689</v>
      </c>
      <c r="E19" s="321"/>
      <c r="F19" s="237"/>
    </row>
    <row r="20" spans="1:6" s="270" customFormat="1">
      <c r="A20" s="232" t="s">
        <v>586</v>
      </c>
      <c r="B20" s="366" t="s">
        <v>684</v>
      </c>
      <c r="C20" s="320" t="s">
        <v>175</v>
      </c>
      <c r="D20" s="230">
        <v>1</v>
      </c>
      <c r="E20" s="321"/>
      <c r="F20" s="231">
        <f t="shared" ref="F20:F24" si="0">E20*D20</f>
        <v>0</v>
      </c>
    </row>
    <row r="21" spans="1:6" s="270" customFormat="1">
      <c r="A21" s="232" t="s">
        <v>587</v>
      </c>
      <c r="B21" s="366" t="s">
        <v>686</v>
      </c>
      <c r="C21" s="320" t="s">
        <v>175</v>
      </c>
      <c r="D21" s="230">
        <v>1</v>
      </c>
      <c r="E21" s="321"/>
      <c r="F21" s="231">
        <f t="shared" si="0"/>
        <v>0</v>
      </c>
    </row>
    <row r="22" spans="1:6" s="270" customFormat="1">
      <c r="A22" s="232" t="s">
        <v>588</v>
      </c>
      <c r="B22" s="366" t="s">
        <v>685</v>
      </c>
      <c r="C22" s="320" t="s">
        <v>175</v>
      </c>
      <c r="D22" s="230">
        <v>1</v>
      </c>
      <c r="E22" s="321"/>
      <c r="F22" s="231">
        <f t="shared" si="0"/>
        <v>0</v>
      </c>
    </row>
    <row r="23" spans="1:6" s="270" customFormat="1" ht="25.5">
      <c r="A23" s="232" t="s">
        <v>589</v>
      </c>
      <c r="B23" s="366" t="s">
        <v>687</v>
      </c>
      <c r="C23" s="320" t="s">
        <v>175</v>
      </c>
      <c r="D23" s="230">
        <v>1</v>
      </c>
      <c r="E23" s="321"/>
      <c r="F23" s="231">
        <f t="shared" si="0"/>
        <v>0</v>
      </c>
    </row>
    <row r="24" spans="1:6" s="270" customFormat="1">
      <c r="A24" s="232" t="s">
        <v>636</v>
      </c>
      <c r="B24" s="366" t="s">
        <v>688</v>
      </c>
      <c r="C24" s="320" t="s">
        <v>175</v>
      </c>
      <c r="D24" s="230">
        <v>1</v>
      </c>
      <c r="E24" s="321"/>
      <c r="F24" s="231">
        <f t="shared" si="0"/>
        <v>0</v>
      </c>
    </row>
    <row r="25" spans="1:6">
      <c r="A25" s="222"/>
      <c r="B25" s="223"/>
      <c r="C25" s="360"/>
      <c r="D25" s="395"/>
      <c r="E25" s="347"/>
      <c r="F25" s="348"/>
    </row>
    <row r="26" spans="1:6">
      <c r="A26" s="238"/>
      <c r="B26" s="239"/>
      <c r="C26" s="306"/>
      <c r="D26" s="225"/>
      <c r="F26" s="278"/>
    </row>
    <row r="27" spans="1:6" ht="13.5">
      <c r="A27" s="222"/>
      <c r="B27" s="243" t="s">
        <v>681</v>
      </c>
      <c r="D27" s="244"/>
      <c r="E27" s="245"/>
      <c r="F27" s="281">
        <f>SUM(F5:F25)</f>
        <v>0</v>
      </c>
    </row>
    <row r="28" spans="1:6">
      <c r="F28" s="278"/>
    </row>
    <row r="29" spans="1:6">
      <c r="B29" s="362"/>
    </row>
    <row r="30" spans="1:6">
      <c r="B30" s="314"/>
    </row>
  </sheetData>
  <sheetProtection algorithmName="SHA-512" hashValue="92Sl0O/chsDvo+dd5Cin5csbaMcfj93E0buIQP3gsiYXBcvmH0BEN9QbfyVu250yAz5+PbXGS4l3AJAmNnCvDg==" saltValue="Hmt8hhMt+ENMvhgIHhJKN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List26">
    <tabColor rgb="FFFFFF00"/>
  </sheetPr>
  <dimension ref="A1:F45"/>
  <sheetViews>
    <sheetView view="pageBreakPreview" topLeftCell="A16" zoomScaleNormal="100" zoomScaleSheetLayoutView="100" workbookViewId="0">
      <selection activeCell="F39" sqref="F39"/>
    </sheetView>
  </sheetViews>
  <sheetFormatPr defaultColWidth="9.140625" defaultRowHeight="12.75"/>
  <cols>
    <col min="1" max="1" width="4.85546875" style="214" customWidth="1"/>
    <col min="2" max="2" width="46.85546875" style="214" customWidth="1"/>
    <col min="3" max="3" width="6.140625" style="214" customWidth="1"/>
    <col min="4" max="4" width="9" style="267" customWidth="1"/>
    <col min="5" max="5" width="9.140625" style="267"/>
    <col min="6" max="6" width="11.5703125" style="267" customWidth="1"/>
    <col min="7" max="7" width="8.28515625" style="214" customWidth="1"/>
    <col min="8" max="16384" width="9.140625" style="214"/>
  </cols>
  <sheetData>
    <row r="1" spans="1:6">
      <c r="A1" s="207" t="s">
        <v>608</v>
      </c>
      <c r="B1" s="208" t="s">
        <v>206</v>
      </c>
      <c r="C1" s="253"/>
      <c r="D1" s="254"/>
      <c r="E1" s="254"/>
      <c r="F1" s="255"/>
    </row>
    <row r="2" spans="1:6" ht="4.5" customHeight="1">
      <c r="A2" s="258"/>
      <c r="B2" s="258"/>
      <c r="C2" s="212"/>
      <c r="D2" s="213"/>
      <c r="E2" s="213"/>
      <c r="F2" s="213"/>
    </row>
    <row r="3" spans="1:6" ht="27.75" customHeight="1">
      <c r="A3" s="216" t="s">
        <v>36</v>
      </c>
      <c r="B3" s="217" t="s">
        <v>0</v>
      </c>
      <c r="C3" s="218" t="s">
        <v>3</v>
      </c>
      <c r="D3" s="219" t="s">
        <v>1</v>
      </c>
      <c r="E3" s="220" t="s">
        <v>2</v>
      </c>
      <c r="F3" s="221" t="s">
        <v>163</v>
      </c>
    </row>
    <row r="4" spans="1:6">
      <c r="A4" s="259"/>
      <c r="B4" s="260"/>
      <c r="C4" s="261"/>
      <c r="D4" s="262"/>
      <c r="E4" s="263"/>
      <c r="F4" s="262"/>
    </row>
    <row r="5" spans="1:6" ht="116.25" customHeight="1">
      <c r="A5" s="227">
        <f ca="1">MAX($A4:A$5)+1</f>
        <v>1</v>
      </c>
      <c r="B5" s="391" t="s">
        <v>635</v>
      </c>
      <c r="C5" s="229" t="s">
        <v>204</v>
      </c>
      <c r="D5" s="230">
        <v>97</v>
      </c>
      <c r="E5" s="263"/>
      <c r="F5" s="231">
        <f t="shared" ref="F5" si="0">E5*D5</f>
        <v>0</v>
      </c>
    </row>
    <row r="6" spans="1:6">
      <c r="A6" s="227"/>
      <c r="B6" s="391"/>
      <c r="C6" s="229"/>
      <c r="D6" s="230"/>
      <c r="E6" s="263"/>
      <c r="F6" s="231"/>
    </row>
    <row r="7" spans="1:6" ht="68.25" customHeight="1">
      <c r="A7" s="227">
        <f ca="1">MAX($A$5:A5)+1</f>
        <v>2</v>
      </c>
      <c r="B7" s="391" t="s">
        <v>776</v>
      </c>
      <c r="C7" s="229" t="s">
        <v>4</v>
      </c>
      <c r="D7" s="230">
        <v>40</v>
      </c>
      <c r="E7" s="263"/>
      <c r="F7" s="231">
        <f t="shared" ref="F7" si="1">E7*D7</f>
        <v>0</v>
      </c>
    </row>
    <row r="8" spans="1:6">
      <c r="A8" s="227"/>
      <c r="B8" s="391"/>
      <c r="C8" s="229"/>
      <c r="D8" s="230"/>
      <c r="E8" s="263"/>
      <c r="F8" s="231"/>
    </row>
    <row r="9" spans="1:6" ht="89.25">
      <c r="A9" s="227" t="s">
        <v>13</v>
      </c>
      <c r="B9" s="391" t="s">
        <v>802</v>
      </c>
      <c r="C9" s="229" t="s">
        <v>315</v>
      </c>
      <c r="D9" s="230">
        <v>1</v>
      </c>
      <c r="E9" s="263"/>
      <c r="F9" s="231">
        <f t="shared" ref="F9" si="2">E9*D9</f>
        <v>0</v>
      </c>
    </row>
    <row r="10" spans="1:6">
      <c r="A10" s="259"/>
      <c r="B10" s="260"/>
      <c r="C10" s="261"/>
      <c r="D10" s="262"/>
      <c r="E10" s="263"/>
      <c r="F10" s="324"/>
    </row>
    <row r="11" spans="1:6" ht="51">
      <c r="A11" s="227" t="s">
        <v>37</v>
      </c>
      <c r="B11" s="260" t="s">
        <v>643</v>
      </c>
      <c r="C11" s="229" t="s">
        <v>175</v>
      </c>
      <c r="D11" s="230">
        <v>1</v>
      </c>
      <c r="E11" s="263"/>
      <c r="F11" s="231">
        <f t="shared" ref="F11" si="3">E11*D11</f>
        <v>0</v>
      </c>
    </row>
    <row r="12" spans="1:6">
      <c r="A12" s="227"/>
      <c r="B12" s="260"/>
      <c r="C12" s="229"/>
      <c r="D12" s="230"/>
      <c r="E12" s="263"/>
      <c r="F12" s="231"/>
    </row>
    <row r="13" spans="1:6" ht="38.25">
      <c r="A13" s="227" t="s">
        <v>38</v>
      </c>
      <c r="B13" s="260" t="s">
        <v>699</v>
      </c>
      <c r="C13" s="229"/>
      <c r="D13" s="230"/>
      <c r="E13" s="263"/>
      <c r="F13" s="231"/>
    </row>
    <row r="14" spans="1:6">
      <c r="A14" s="227"/>
      <c r="B14" s="260" t="s">
        <v>700</v>
      </c>
      <c r="C14" s="229" t="s">
        <v>175</v>
      </c>
      <c r="D14" s="230">
        <v>1</v>
      </c>
      <c r="E14" s="263"/>
      <c r="F14" s="231">
        <f t="shared" ref="F14" si="4">E14*D14</f>
        <v>0</v>
      </c>
    </row>
    <row r="15" spans="1:6">
      <c r="A15" s="227"/>
      <c r="B15" s="260" t="s">
        <v>702</v>
      </c>
      <c r="C15" s="229" t="s">
        <v>175</v>
      </c>
      <c r="D15" s="230">
        <v>4</v>
      </c>
      <c r="E15" s="263"/>
      <c r="F15" s="231">
        <f t="shared" ref="F15" si="5">E15*D15</f>
        <v>0</v>
      </c>
    </row>
    <row r="16" spans="1:6">
      <c r="A16" s="227"/>
      <c r="B16" s="260" t="s">
        <v>703</v>
      </c>
      <c r="C16" s="229" t="s">
        <v>175</v>
      </c>
      <c r="D16" s="230">
        <v>1</v>
      </c>
      <c r="E16" s="263"/>
      <c r="F16" s="231">
        <f t="shared" ref="F16" si="6">E16*D16</f>
        <v>0</v>
      </c>
    </row>
    <row r="17" spans="1:6">
      <c r="A17" s="227"/>
      <c r="B17" s="260" t="s">
        <v>701</v>
      </c>
      <c r="C17" s="229" t="s">
        <v>175</v>
      </c>
      <c r="D17" s="230">
        <v>2</v>
      </c>
      <c r="E17" s="263"/>
      <c r="F17" s="231">
        <f t="shared" ref="F17" si="7">E17*D17</f>
        <v>0</v>
      </c>
    </row>
    <row r="18" spans="1:6">
      <c r="A18" s="227"/>
      <c r="B18" s="260"/>
      <c r="C18" s="229"/>
      <c r="D18" s="230"/>
      <c r="E18" s="263"/>
      <c r="F18" s="231"/>
    </row>
    <row r="19" spans="1:6" ht="81" customHeight="1">
      <c r="A19" s="227" t="s">
        <v>39</v>
      </c>
      <c r="B19" s="431" t="s">
        <v>748</v>
      </c>
      <c r="C19" s="229" t="s">
        <v>175</v>
      </c>
      <c r="D19" s="230">
        <v>1</v>
      </c>
      <c r="E19" s="263"/>
      <c r="F19" s="231">
        <f t="shared" ref="F19" si="8">E19*D19</f>
        <v>0</v>
      </c>
    </row>
    <row r="20" spans="1:6">
      <c r="A20" s="227"/>
      <c r="B20" s="431"/>
      <c r="C20" s="229"/>
      <c r="D20" s="230"/>
      <c r="E20" s="263"/>
      <c r="F20" s="231"/>
    </row>
    <row r="21" spans="1:6" ht="51">
      <c r="A21" s="227" t="s">
        <v>40</v>
      </c>
      <c r="B21" s="431" t="s">
        <v>768</v>
      </c>
      <c r="C21" s="229" t="s">
        <v>10</v>
      </c>
      <c r="D21" s="230">
        <v>1</v>
      </c>
      <c r="E21" s="263"/>
      <c r="F21" s="231">
        <f t="shared" ref="F21" si="9">E21*D21</f>
        <v>0</v>
      </c>
    </row>
    <row r="22" spans="1:6">
      <c r="A22" s="227"/>
      <c r="B22" s="260"/>
      <c r="C22" s="229"/>
      <c r="D22" s="230"/>
      <c r="E22" s="263"/>
      <c r="F22" s="231"/>
    </row>
    <row r="23" spans="1:6">
      <c r="A23" s="227" t="s">
        <v>41</v>
      </c>
      <c r="B23" s="430" t="s">
        <v>747</v>
      </c>
      <c r="C23" s="229" t="s">
        <v>175</v>
      </c>
      <c r="D23" s="230">
        <v>1</v>
      </c>
      <c r="E23" s="263"/>
      <c r="F23" s="231">
        <f t="shared" ref="F23" si="10">E23*D23</f>
        <v>0</v>
      </c>
    </row>
    <row r="24" spans="1:6">
      <c r="A24" s="227"/>
      <c r="B24" s="422"/>
      <c r="C24" s="229"/>
      <c r="D24" s="230"/>
      <c r="E24" s="263"/>
      <c r="F24" s="231"/>
    </row>
    <row r="25" spans="1:6" ht="38.25">
      <c r="A25" s="227" t="s">
        <v>42</v>
      </c>
      <c r="B25" s="423" t="s">
        <v>690</v>
      </c>
      <c r="C25" s="229" t="s">
        <v>10</v>
      </c>
      <c r="D25" s="230">
        <v>1</v>
      </c>
      <c r="E25" s="263"/>
      <c r="F25" s="231">
        <f t="shared" ref="F25" si="11">E25*D25</f>
        <v>0</v>
      </c>
    </row>
    <row r="26" spans="1:6">
      <c r="A26" s="227"/>
      <c r="B26" s="423"/>
      <c r="C26" s="229"/>
      <c r="D26" s="230"/>
      <c r="E26" s="263"/>
      <c r="F26" s="231"/>
    </row>
    <row r="27" spans="1:6" ht="25.5" customHeight="1">
      <c r="A27" s="227" t="s">
        <v>43</v>
      </c>
      <c r="B27" s="423" t="s">
        <v>691</v>
      </c>
      <c r="C27" s="229" t="s">
        <v>10</v>
      </c>
      <c r="D27" s="230">
        <v>1</v>
      </c>
      <c r="E27" s="263"/>
      <c r="F27" s="231">
        <f t="shared" ref="F27" si="12">E27*D27</f>
        <v>0</v>
      </c>
    </row>
    <row r="28" spans="1:6">
      <c r="A28" s="227"/>
      <c r="B28" s="423"/>
      <c r="C28" s="229"/>
      <c r="D28" s="230"/>
      <c r="E28" s="263"/>
      <c r="F28" s="231"/>
    </row>
    <row r="29" spans="1:6" ht="93.75" customHeight="1">
      <c r="A29" s="227" t="s">
        <v>45</v>
      </c>
      <c r="B29" s="423" t="s">
        <v>742</v>
      </c>
      <c r="C29" s="229" t="s">
        <v>10</v>
      </c>
      <c r="D29" s="230">
        <v>1</v>
      </c>
      <c r="E29" s="263"/>
      <c r="F29" s="231">
        <f t="shared" ref="F29" si="13">E29*D29</f>
        <v>0</v>
      </c>
    </row>
    <row r="30" spans="1:6">
      <c r="A30" s="227"/>
      <c r="B30" s="423"/>
      <c r="C30" s="229"/>
      <c r="D30" s="230"/>
      <c r="E30" s="263"/>
      <c r="F30" s="231"/>
    </row>
    <row r="31" spans="1:6">
      <c r="A31" s="227" t="s">
        <v>46</v>
      </c>
      <c r="B31" s="425" t="s">
        <v>692</v>
      </c>
      <c r="C31" s="229" t="s">
        <v>10</v>
      </c>
      <c r="D31" s="230">
        <v>1</v>
      </c>
      <c r="E31" s="263"/>
      <c r="F31" s="231">
        <f t="shared" ref="F31" si="14">E31*D31</f>
        <v>0</v>
      </c>
    </row>
    <row r="32" spans="1:6">
      <c r="A32" s="227"/>
      <c r="B32" s="423"/>
      <c r="C32" s="229"/>
      <c r="D32" s="230"/>
      <c r="E32" s="263"/>
      <c r="F32" s="231"/>
    </row>
    <row r="33" spans="1:6" ht="51">
      <c r="A33" s="227" t="s">
        <v>47</v>
      </c>
      <c r="B33" s="427" t="s">
        <v>804</v>
      </c>
      <c r="C33" s="229" t="s">
        <v>10</v>
      </c>
      <c r="D33" s="230">
        <v>1</v>
      </c>
      <c r="E33" s="263"/>
      <c r="F33" s="231">
        <f t="shared" ref="F33" si="15">E33*D33</f>
        <v>0</v>
      </c>
    </row>
    <row r="34" spans="1:6">
      <c r="A34" s="227"/>
      <c r="B34" s="427"/>
      <c r="C34" s="229"/>
      <c r="D34" s="230"/>
      <c r="E34" s="263"/>
      <c r="F34" s="231"/>
    </row>
    <row r="35" spans="1:6" ht="25.5">
      <c r="A35" s="227" t="s">
        <v>48</v>
      </c>
      <c r="B35" s="427" t="s">
        <v>805</v>
      </c>
      <c r="C35" s="229" t="s">
        <v>10</v>
      </c>
      <c r="D35" s="230">
        <v>1</v>
      </c>
      <c r="E35" s="263"/>
      <c r="F35" s="231">
        <f t="shared" ref="F35" si="16">E35*D35</f>
        <v>0</v>
      </c>
    </row>
    <row r="36" spans="1:6">
      <c r="A36" s="227"/>
      <c r="B36" s="424"/>
      <c r="C36" s="424"/>
      <c r="D36" s="230"/>
      <c r="E36" s="263"/>
      <c r="F36" s="231"/>
    </row>
    <row r="37" spans="1:6">
      <c r="A37" s="227" t="s">
        <v>49</v>
      </c>
      <c r="B37" s="426" t="s">
        <v>806</v>
      </c>
      <c r="C37" s="229" t="s">
        <v>10</v>
      </c>
      <c r="D37" s="230">
        <v>1</v>
      </c>
      <c r="E37" s="263"/>
      <c r="F37" s="231">
        <f t="shared" ref="F37" si="17">E37*D37</f>
        <v>0</v>
      </c>
    </row>
    <row r="38" spans="1:6">
      <c r="A38" s="259"/>
      <c r="B38" s="260"/>
      <c r="C38" s="261"/>
      <c r="D38" s="262"/>
      <c r="E38" s="263"/>
      <c r="F38" s="324"/>
    </row>
    <row r="39" spans="1:6" ht="77.25" customHeight="1">
      <c r="A39" s="227" t="s">
        <v>50</v>
      </c>
      <c r="B39" s="405" t="s">
        <v>807</v>
      </c>
      <c r="C39" s="224" t="s">
        <v>238</v>
      </c>
      <c r="D39" s="236">
        <v>0.03</v>
      </c>
      <c r="E39" s="263"/>
      <c r="F39" s="359"/>
    </row>
    <row r="40" spans="1:6">
      <c r="A40" s="222"/>
      <c r="B40" s="223"/>
      <c r="C40" s="360"/>
      <c r="D40" s="395"/>
      <c r="E40" s="347"/>
      <c r="F40" s="348"/>
    </row>
    <row r="41" spans="1:6">
      <c r="A41" s="238"/>
      <c r="B41" s="239"/>
      <c r="C41" s="306"/>
      <c r="D41" s="225"/>
      <c r="F41" s="278"/>
    </row>
    <row r="42" spans="1:6" ht="13.5">
      <c r="A42" s="222"/>
      <c r="B42" s="243" t="s">
        <v>222</v>
      </c>
      <c r="D42" s="244"/>
      <c r="E42" s="245"/>
      <c r="F42" s="281">
        <f>SUM(F5:F37)</f>
        <v>0</v>
      </c>
    </row>
    <row r="44" spans="1:6">
      <c r="B44" s="362"/>
    </row>
    <row r="45" spans="1:6">
      <c r="B45" s="314"/>
    </row>
  </sheetData>
  <sheetProtection algorithmName="SHA-512" hashValue="r5OuEz2v5wMSSXugSvU9TCNpvLpEOUIjLmCr5gLMflOZaehNKSSWsLoiBHZKOvuAi8L6FLe4IFIE6vby5h5cAQ==" saltValue="l59Eq7ZHNGj06SCI+DIMC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40">
    <tabColor rgb="FFFFFF00"/>
  </sheetPr>
  <dimension ref="A1:F37"/>
  <sheetViews>
    <sheetView view="pageBreakPreview" zoomScaleSheetLayoutView="100" workbookViewId="0">
      <selection activeCell="B5" sqref="B5"/>
    </sheetView>
  </sheetViews>
  <sheetFormatPr defaultColWidth="9.140625" defaultRowHeight="12.75"/>
  <cols>
    <col min="1" max="1" width="5.85546875" customWidth="1"/>
    <col min="2" max="2" width="46.85546875" customWidth="1"/>
    <col min="3" max="3" width="6.140625" style="23" customWidth="1"/>
    <col min="4" max="4" width="7.85546875" style="2" customWidth="1"/>
    <col min="6" max="6" width="11.5703125" customWidth="1"/>
  </cols>
  <sheetData>
    <row r="1" spans="1:6">
      <c r="A1" s="93" t="s">
        <v>17</v>
      </c>
      <c r="B1" s="12" t="s">
        <v>20</v>
      </c>
      <c r="C1" s="13"/>
      <c r="D1" s="12"/>
      <c r="E1" s="13"/>
      <c r="F1" s="30"/>
    </row>
    <row r="2" spans="1:6" ht="4.5" customHeight="1">
      <c r="A2" s="12"/>
      <c r="B2" s="71"/>
      <c r="C2" s="72"/>
      <c r="D2" s="12"/>
      <c r="E2" s="72"/>
      <c r="F2" s="72"/>
    </row>
    <row r="3" spans="1:6" ht="25.5">
      <c r="A3" s="92" t="s">
        <v>36</v>
      </c>
      <c r="B3" s="14" t="s">
        <v>0</v>
      </c>
      <c r="C3" s="15" t="s">
        <v>3</v>
      </c>
      <c r="D3" s="16" t="s">
        <v>1</v>
      </c>
      <c r="E3" s="17" t="s">
        <v>2</v>
      </c>
      <c r="F3" s="107" t="s">
        <v>163</v>
      </c>
    </row>
    <row r="4" spans="1:6">
      <c r="A4" s="29"/>
      <c r="B4" s="80"/>
      <c r="C4" s="81"/>
      <c r="D4" s="109"/>
      <c r="E4" s="31"/>
      <c r="F4" s="21"/>
    </row>
    <row r="5" spans="1:6" ht="153">
      <c r="A5" s="18"/>
      <c r="B5" s="97" t="s">
        <v>189</v>
      </c>
      <c r="D5" s="37"/>
      <c r="E5" s="31"/>
      <c r="F5" s="21"/>
    </row>
    <row r="6" spans="1:6">
      <c r="A6" s="18"/>
      <c r="B6" s="5"/>
      <c r="D6" s="37"/>
      <c r="E6" s="31"/>
      <c r="F6" s="21"/>
    </row>
    <row r="7" spans="1:6" ht="25.5">
      <c r="A7" s="18" t="s">
        <v>11</v>
      </c>
      <c r="B7" s="32" t="s">
        <v>73</v>
      </c>
      <c r="C7" s="23" t="s">
        <v>4</v>
      </c>
      <c r="D7" s="110">
        <v>153.30000000000001</v>
      </c>
      <c r="E7" s="25"/>
      <c r="F7" s="25">
        <f>D7*E7</f>
        <v>0</v>
      </c>
    </row>
    <row r="8" spans="1:6">
      <c r="A8" s="18"/>
      <c r="B8" s="32"/>
      <c r="D8" s="110"/>
      <c r="E8" s="25"/>
      <c r="F8" s="25"/>
    </row>
    <row r="9" spans="1:6" ht="165.75">
      <c r="A9" s="18" t="s">
        <v>12</v>
      </c>
      <c r="B9" s="32" t="s">
        <v>164</v>
      </c>
      <c r="C9" s="23" t="s">
        <v>4</v>
      </c>
      <c r="D9" s="110">
        <v>153.30000000000001</v>
      </c>
      <c r="E9" s="25"/>
      <c r="F9" s="25">
        <f t="shared" ref="F9:F21" si="0">D9*E9</f>
        <v>0</v>
      </c>
    </row>
    <row r="10" spans="1:6">
      <c r="A10" s="18"/>
      <c r="B10" s="32"/>
      <c r="D10" s="110"/>
      <c r="E10" s="25"/>
      <c r="F10" s="25"/>
    </row>
    <row r="11" spans="1:6" ht="90.75" customHeight="1">
      <c r="A11" s="18" t="s">
        <v>13</v>
      </c>
      <c r="B11" s="32" t="s">
        <v>182</v>
      </c>
      <c r="C11" s="23" t="s">
        <v>4</v>
      </c>
      <c r="D11" s="110">
        <f>64.68+31.12+5.9</f>
        <v>101.70000000000002</v>
      </c>
      <c r="E11" s="25"/>
      <c r="F11" s="25">
        <f t="shared" si="0"/>
        <v>0</v>
      </c>
    </row>
    <row r="12" spans="1:6">
      <c r="A12" s="18"/>
      <c r="B12" s="32"/>
      <c r="D12" s="110"/>
      <c r="E12" s="25"/>
      <c r="F12" s="25"/>
    </row>
    <row r="13" spans="1:6" ht="102">
      <c r="A13" s="18" t="s">
        <v>37</v>
      </c>
      <c r="B13" s="32" t="s">
        <v>165</v>
      </c>
      <c r="D13" s="110"/>
      <c r="E13" s="25"/>
      <c r="F13" s="25"/>
    </row>
    <row r="14" spans="1:6">
      <c r="A14" s="18"/>
      <c r="B14" s="32"/>
      <c r="D14" s="110"/>
      <c r="E14" s="25"/>
      <c r="F14" s="25"/>
    </row>
    <row r="15" spans="1:6">
      <c r="A15" s="18" t="s">
        <v>166</v>
      </c>
      <c r="B15" s="32" t="s">
        <v>170</v>
      </c>
      <c r="C15" s="23" t="s">
        <v>5</v>
      </c>
      <c r="D15" s="110">
        <v>35</v>
      </c>
      <c r="E15" s="25"/>
      <c r="F15" s="25">
        <f t="shared" si="0"/>
        <v>0</v>
      </c>
    </row>
    <row r="16" spans="1:6">
      <c r="A16" s="18"/>
      <c r="B16" s="32"/>
      <c r="D16" s="110"/>
      <c r="E16" s="25"/>
      <c r="F16" s="25"/>
    </row>
    <row r="17" spans="1:6">
      <c r="A17" s="18" t="s">
        <v>167</v>
      </c>
      <c r="B17" s="32" t="s">
        <v>171</v>
      </c>
      <c r="C17" s="23" t="s">
        <v>5</v>
      </c>
      <c r="D17" s="110">
        <v>10.5</v>
      </c>
      <c r="E17" s="25"/>
      <c r="F17" s="25">
        <f t="shared" si="0"/>
        <v>0</v>
      </c>
    </row>
    <row r="18" spans="1:6">
      <c r="A18" s="18"/>
      <c r="B18" s="32"/>
      <c r="D18" s="110"/>
      <c r="E18" s="25"/>
      <c r="F18" s="25"/>
    </row>
    <row r="19" spans="1:6" ht="25.5">
      <c r="A19" s="18" t="s">
        <v>168</v>
      </c>
      <c r="B19" s="32" t="s">
        <v>173</v>
      </c>
      <c r="C19" s="23" t="s">
        <v>5</v>
      </c>
      <c r="D19" s="110">
        <v>9.5</v>
      </c>
      <c r="E19" s="25"/>
      <c r="F19" s="25">
        <f t="shared" si="0"/>
        <v>0</v>
      </c>
    </row>
    <row r="20" spans="1:6">
      <c r="A20" s="18"/>
      <c r="B20" s="32"/>
      <c r="D20" s="110"/>
      <c r="E20" s="25"/>
      <c r="F20" s="25"/>
    </row>
    <row r="21" spans="1:6">
      <c r="A21" s="18" t="s">
        <v>169</v>
      </c>
      <c r="B21" s="32" t="s">
        <v>172</v>
      </c>
      <c r="C21" s="23" t="s">
        <v>4</v>
      </c>
      <c r="D21" s="110">
        <v>25</v>
      </c>
      <c r="E21" s="25"/>
      <c r="F21" s="25">
        <f t="shared" si="0"/>
        <v>0</v>
      </c>
    </row>
    <row r="22" spans="1:6">
      <c r="A22" s="18"/>
      <c r="B22" s="32"/>
      <c r="D22" s="110"/>
      <c r="E22" s="25"/>
      <c r="F22" s="25"/>
    </row>
    <row r="23" spans="1:6">
      <c r="A23" s="18" t="s">
        <v>38</v>
      </c>
      <c r="B23" s="32" t="s">
        <v>174</v>
      </c>
      <c r="D23" s="110"/>
      <c r="E23" s="25"/>
      <c r="F23" s="25"/>
    </row>
    <row r="24" spans="1:6">
      <c r="A24" s="18"/>
      <c r="B24" s="32"/>
      <c r="D24" s="110"/>
      <c r="E24" s="25"/>
      <c r="F24" s="25"/>
    </row>
    <row r="25" spans="1:6">
      <c r="A25" s="18" t="s">
        <v>179</v>
      </c>
      <c r="B25" s="32" t="s">
        <v>176</v>
      </c>
      <c r="C25" s="23" t="s">
        <v>175</v>
      </c>
      <c r="D25" s="110">
        <v>15</v>
      </c>
      <c r="E25" s="25"/>
      <c r="F25" s="25">
        <f>D25*E25</f>
        <v>0</v>
      </c>
    </row>
    <row r="26" spans="1:6">
      <c r="A26" s="18"/>
      <c r="B26" s="32"/>
      <c r="D26" s="110"/>
      <c r="E26" s="25"/>
      <c r="F26" s="25"/>
    </row>
    <row r="27" spans="1:6">
      <c r="A27" s="18" t="s">
        <v>180</v>
      </c>
      <c r="B27" s="32" t="s">
        <v>177</v>
      </c>
      <c r="C27" s="23" t="s">
        <v>175</v>
      </c>
      <c r="D27" s="110">
        <v>3</v>
      </c>
      <c r="E27" s="25"/>
      <c r="F27" s="25">
        <f>D27*E27</f>
        <v>0</v>
      </c>
    </row>
    <row r="28" spans="1:6">
      <c r="A28" s="18"/>
      <c r="B28" s="32"/>
      <c r="D28" s="110"/>
      <c r="E28" s="25"/>
      <c r="F28" s="25"/>
    </row>
    <row r="29" spans="1:6">
      <c r="A29" s="18" t="s">
        <v>181</v>
      </c>
      <c r="B29" s="32" t="s">
        <v>178</v>
      </c>
      <c r="C29" s="23" t="s">
        <v>175</v>
      </c>
      <c r="D29" s="110">
        <v>3</v>
      </c>
      <c r="E29" s="25"/>
      <c r="F29" s="25">
        <f>D29*E29</f>
        <v>0</v>
      </c>
    </row>
    <row r="30" spans="1:6">
      <c r="A30" s="18"/>
      <c r="B30" s="32"/>
      <c r="D30" s="110"/>
      <c r="E30" s="25"/>
      <c r="F30" s="25"/>
    </row>
    <row r="31" spans="1:6" ht="51">
      <c r="A31" s="18" t="s">
        <v>39</v>
      </c>
      <c r="B31" s="32" t="s">
        <v>195</v>
      </c>
      <c r="C31" s="23" t="s">
        <v>6</v>
      </c>
      <c r="D31" s="110">
        <v>66.2</v>
      </c>
      <c r="E31" s="25"/>
      <c r="F31" s="25">
        <f>D31*E31</f>
        <v>0</v>
      </c>
    </row>
    <row r="32" spans="1:6" s="2" customFormat="1" ht="14.25" customHeight="1">
      <c r="A32" s="8"/>
      <c r="B32" s="26"/>
      <c r="C32" s="34"/>
      <c r="D32" s="35"/>
      <c r="E32" s="36"/>
      <c r="F32" s="36"/>
    </row>
    <row r="33" spans="1:6" s="2" customFormat="1">
      <c r="A33" s="39"/>
      <c r="B33" s="5"/>
      <c r="C33" s="3"/>
      <c r="D33" s="37"/>
      <c r="E33" s="38"/>
      <c r="F33" s="38"/>
    </row>
    <row r="34" spans="1:6" ht="12.75" customHeight="1">
      <c r="A34" s="18"/>
      <c r="B34" s="5"/>
      <c r="C34" s="9" t="s">
        <v>14</v>
      </c>
      <c r="D34" s="37"/>
      <c r="E34" s="21"/>
      <c r="F34" s="38">
        <f>SUM(F4:F32)</f>
        <v>0</v>
      </c>
    </row>
    <row r="37" spans="1:6"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List41">
    <tabColor rgb="FFFFFF00"/>
  </sheetPr>
  <dimension ref="A1:F35"/>
  <sheetViews>
    <sheetView view="pageBreakPreview" zoomScaleSheetLayoutView="100" workbookViewId="0">
      <selection activeCell="B5" sqref="B5"/>
    </sheetView>
  </sheetViews>
  <sheetFormatPr defaultColWidth="9.140625" defaultRowHeight="12.75"/>
  <cols>
    <col min="1" max="1" width="5.85546875" customWidth="1"/>
    <col min="2" max="2" width="46.85546875" customWidth="1"/>
    <col min="3" max="3" width="6.140625" customWidth="1"/>
    <col min="4" max="4" width="7.85546875" customWidth="1"/>
    <col min="5" max="5" width="8.5703125" customWidth="1"/>
    <col min="6" max="6" width="12.28515625" customWidth="1"/>
  </cols>
  <sheetData>
    <row r="1" spans="1:6">
      <c r="A1" s="93" t="s">
        <v>18</v>
      </c>
      <c r="B1" s="12" t="s">
        <v>22</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2" customFormat="1" ht="12.75" customHeight="1">
      <c r="A4" s="8"/>
      <c r="B4" s="5"/>
      <c r="C4" s="45"/>
      <c r="D4" s="37"/>
      <c r="E4" s="82"/>
      <c r="F4" s="38"/>
    </row>
    <row r="5" spans="1:6" s="2" customFormat="1" ht="40.5" customHeight="1">
      <c r="A5" s="8"/>
      <c r="B5" s="97" t="s">
        <v>190</v>
      </c>
      <c r="C5" s="45"/>
      <c r="D5" s="37"/>
      <c r="E5" s="82"/>
      <c r="F5" s="38"/>
    </row>
    <row r="6" spans="1:6" s="2" customFormat="1" ht="12.75" customHeight="1">
      <c r="A6" s="8"/>
      <c r="B6" s="5"/>
      <c r="C6" s="45"/>
      <c r="D6" s="37"/>
      <c r="E6" s="82"/>
      <c r="F6" s="38"/>
    </row>
    <row r="7" spans="1:6" ht="25.5">
      <c r="A7" s="18" t="s">
        <v>11</v>
      </c>
      <c r="B7" s="22" t="s">
        <v>183</v>
      </c>
      <c r="C7" s="23" t="s">
        <v>4</v>
      </c>
      <c r="D7" s="110">
        <v>6.05</v>
      </c>
      <c r="E7" s="25"/>
      <c r="F7" s="25">
        <f>D7*E7</f>
        <v>0</v>
      </c>
    </row>
    <row r="8" spans="1:6">
      <c r="A8" s="18"/>
      <c r="B8" s="22"/>
      <c r="C8" s="23"/>
      <c r="D8" s="110"/>
      <c r="E8" s="25"/>
      <c r="F8" s="25"/>
    </row>
    <row r="9" spans="1:6" ht="25.5" customHeight="1">
      <c r="A9" s="18" t="s">
        <v>12</v>
      </c>
      <c r="B9" s="22" t="s">
        <v>184</v>
      </c>
      <c r="C9" s="23" t="s">
        <v>4</v>
      </c>
      <c r="D9" s="110">
        <v>1.94</v>
      </c>
      <c r="E9" s="25"/>
      <c r="F9" s="25">
        <f t="shared" ref="F9:F23" si="0">D9*E9</f>
        <v>0</v>
      </c>
    </row>
    <row r="10" spans="1:6" ht="12" customHeight="1">
      <c r="A10" s="18"/>
      <c r="B10" s="22"/>
      <c r="C10" s="23"/>
      <c r="D10" s="110"/>
      <c r="E10" s="25"/>
      <c r="F10" s="25"/>
    </row>
    <row r="11" spans="1:6" ht="27" customHeight="1">
      <c r="A11" s="18" t="s">
        <v>13</v>
      </c>
      <c r="B11" s="22" t="s">
        <v>188</v>
      </c>
      <c r="C11" s="23" t="s">
        <v>4</v>
      </c>
      <c r="D11" s="110">
        <v>101.6</v>
      </c>
      <c r="E11" s="25"/>
      <c r="F11" s="25">
        <f t="shared" si="0"/>
        <v>0</v>
      </c>
    </row>
    <row r="12" spans="1:6">
      <c r="A12" s="18"/>
      <c r="B12" s="22"/>
      <c r="C12" s="23"/>
      <c r="D12" s="110"/>
      <c r="E12" s="25"/>
      <c r="F12" s="25"/>
    </row>
    <row r="13" spans="1:6" ht="27" customHeight="1">
      <c r="A13" s="18" t="s">
        <v>37</v>
      </c>
      <c r="B13" s="22" t="s">
        <v>185</v>
      </c>
      <c r="C13" s="23" t="s">
        <v>4</v>
      </c>
      <c r="D13" s="110">
        <v>21.3</v>
      </c>
      <c r="E13" s="25"/>
      <c r="F13" s="25">
        <f t="shared" si="0"/>
        <v>0</v>
      </c>
    </row>
    <row r="14" spans="1:6" ht="13.5" customHeight="1">
      <c r="A14" s="18"/>
      <c r="B14" s="22"/>
      <c r="C14" s="23"/>
      <c r="D14" s="110"/>
      <c r="E14" s="25"/>
      <c r="F14" s="25"/>
    </row>
    <row r="15" spans="1:6" ht="27" customHeight="1">
      <c r="A15" s="18" t="s">
        <v>38</v>
      </c>
      <c r="B15" s="22" t="s">
        <v>186</v>
      </c>
      <c r="C15" s="23" t="s">
        <v>6</v>
      </c>
      <c r="D15" s="110">
        <v>125.18</v>
      </c>
      <c r="E15" s="25"/>
      <c r="F15" s="25">
        <f t="shared" si="0"/>
        <v>0</v>
      </c>
    </row>
    <row r="16" spans="1:6" ht="13.5" customHeight="1">
      <c r="A16" s="18"/>
      <c r="B16" s="22"/>
      <c r="C16" s="23"/>
      <c r="D16" s="110"/>
      <c r="E16" s="25"/>
      <c r="F16" s="25"/>
    </row>
    <row r="17" spans="1:6" ht="13.5" customHeight="1">
      <c r="A17" s="18" t="s">
        <v>39</v>
      </c>
      <c r="B17" s="22" t="s">
        <v>191</v>
      </c>
      <c r="C17" s="23"/>
      <c r="D17" s="110"/>
      <c r="E17" s="25"/>
      <c r="F17" s="25"/>
    </row>
    <row r="18" spans="1:6" ht="13.5" customHeight="1">
      <c r="A18" s="18"/>
      <c r="B18" s="22"/>
      <c r="C18" s="23"/>
      <c r="D18" s="110"/>
      <c r="E18" s="25"/>
      <c r="F18" s="25"/>
    </row>
    <row r="19" spans="1:6" ht="13.5" customHeight="1">
      <c r="A19" s="18"/>
      <c r="B19" s="22" t="s">
        <v>193</v>
      </c>
      <c r="C19" s="23" t="s">
        <v>4</v>
      </c>
      <c r="D19" s="110">
        <v>5.8</v>
      </c>
      <c r="E19" s="25"/>
      <c r="F19" s="25">
        <f t="shared" si="0"/>
        <v>0</v>
      </c>
    </row>
    <row r="20" spans="1:6" ht="13.5" customHeight="1">
      <c r="A20" s="18"/>
      <c r="B20" s="22" t="s">
        <v>192</v>
      </c>
      <c r="C20" s="23" t="s">
        <v>6</v>
      </c>
      <c r="D20" s="110">
        <v>19.5</v>
      </c>
      <c r="E20" s="25"/>
      <c r="F20" s="25">
        <f t="shared" si="0"/>
        <v>0</v>
      </c>
    </row>
    <row r="21" spans="1:6" ht="13.5" customHeight="1">
      <c r="A21" s="18"/>
      <c r="B21" s="22" t="s">
        <v>194</v>
      </c>
      <c r="C21" s="23" t="s">
        <v>6</v>
      </c>
      <c r="D21" s="110">
        <v>5.7</v>
      </c>
      <c r="E21" s="25"/>
      <c r="F21" s="25">
        <f t="shared" si="0"/>
        <v>0</v>
      </c>
    </row>
    <row r="22" spans="1:6" ht="13.5" customHeight="1">
      <c r="A22" s="18"/>
      <c r="B22" s="22"/>
      <c r="C22" s="23"/>
      <c r="D22" s="110"/>
      <c r="E22" s="25"/>
      <c r="F22" s="25"/>
    </row>
    <row r="23" spans="1:6" ht="25.5">
      <c r="A23" s="18" t="s">
        <v>40</v>
      </c>
      <c r="B23" s="22" t="s">
        <v>187</v>
      </c>
      <c r="C23" s="23" t="s">
        <v>4</v>
      </c>
      <c r="D23" s="110">
        <v>122.61</v>
      </c>
      <c r="E23" s="25"/>
      <c r="F23" s="25">
        <f t="shared" si="0"/>
        <v>0</v>
      </c>
    </row>
    <row r="24" spans="1:6" s="2" customFormat="1" ht="13.5" customHeight="1">
      <c r="A24" s="8"/>
      <c r="B24" s="33"/>
      <c r="C24" s="44"/>
      <c r="D24" s="35"/>
      <c r="E24" s="36"/>
      <c r="F24" s="36"/>
    </row>
    <row r="25" spans="1:6" s="2" customFormat="1" ht="9.9499999999999993" customHeight="1">
      <c r="A25" s="39"/>
      <c r="B25" s="5"/>
      <c r="C25" s="45"/>
      <c r="D25" s="37"/>
      <c r="E25" s="38"/>
      <c r="F25" s="38"/>
    </row>
    <row r="26" spans="1:6" ht="12.75" customHeight="1">
      <c r="A26" s="18"/>
      <c r="B26" s="5"/>
      <c r="C26" s="9" t="s">
        <v>14</v>
      </c>
      <c r="D26" s="20"/>
      <c r="E26" s="21"/>
      <c r="F26" s="38">
        <f>SUM(F7:F24)</f>
        <v>0</v>
      </c>
    </row>
    <row r="27" spans="1:6" ht="12.75" customHeight="1">
      <c r="A27" s="18"/>
      <c r="B27" s="4"/>
      <c r="C27" s="19"/>
      <c r="D27" s="20"/>
      <c r="E27" s="21"/>
      <c r="F27" s="21"/>
    </row>
    <row r="35"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List42">
    <tabColor rgb="FFFF0000"/>
  </sheetPr>
  <dimension ref="A6:D35"/>
  <sheetViews>
    <sheetView view="pageBreakPreview" zoomScaleSheetLayoutView="100" workbookViewId="0">
      <selection activeCell="D29" sqref="D29"/>
    </sheetView>
  </sheetViews>
  <sheetFormatPr defaultColWidth="9.140625" defaultRowHeight="12.75" customHeight="1"/>
  <cols>
    <col min="1" max="1" width="7.42578125" style="18" customWidth="1"/>
    <col min="2" max="2" width="51.5703125" style="4" customWidth="1"/>
    <col min="3" max="3" width="6.140625" style="20" customWidth="1"/>
    <col min="4" max="4" width="14.28515625" style="48" customWidth="1"/>
  </cols>
  <sheetData>
    <row r="6" spans="1:4" ht="12.75" customHeight="1">
      <c r="B6" s="5"/>
    </row>
    <row r="7" spans="1:4" ht="13.5" customHeight="1">
      <c r="A7" s="8" t="s">
        <v>23</v>
      </c>
      <c r="B7" s="9" t="s">
        <v>24</v>
      </c>
    </row>
    <row r="8" spans="1:4" ht="13.5" customHeight="1">
      <c r="A8" s="8"/>
      <c r="B8" s="9"/>
    </row>
    <row r="9" spans="1:4" ht="13.5" customHeight="1">
      <c r="A9" s="8"/>
      <c r="B9" s="9"/>
      <c r="C9" s="21"/>
      <c r="D9" s="105"/>
    </row>
    <row r="10" spans="1:4" ht="12.75" customHeight="1">
      <c r="A10" s="18" t="s">
        <v>16</v>
      </c>
      <c r="B10" s="4" t="s">
        <v>25</v>
      </c>
      <c r="C10" s="21"/>
      <c r="D10" s="105">
        <f>'I. Krovsko kleparska dela'!F26</f>
        <v>23119.420000000002</v>
      </c>
    </row>
    <row r="11" spans="1:4" ht="12.75" customHeight="1">
      <c r="C11" s="21"/>
      <c r="D11" s="105"/>
    </row>
    <row r="12" spans="1:4" ht="12.75" customHeight="1">
      <c r="A12" s="18" t="s">
        <v>17</v>
      </c>
      <c r="B12" s="4" t="s">
        <v>57</v>
      </c>
      <c r="C12" s="21"/>
      <c r="D12" s="105">
        <f>'II. Klučavničarska dela'!F30</f>
        <v>12292.02</v>
      </c>
    </row>
    <row r="13" spans="1:4" ht="12.75" customHeight="1">
      <c r="C13" s="21"/>
      <c r="D13" s="105"/>
    </row>
    <row r="14" spans="1:4" ht="12.75" customHeight="1">
      <c r="A14" s="18" t="s">
        <v>18</v>
      </c>
      <c r="B14" s="4" t="s">
        <v>27</v>
      </c>
      <c r="C14" s="21"/>
      <c r="D14" s="105">
        <f>'III. Alu in steklarska dela'!F42</f>
        <v>51740.93</v>
      </c>
    </row>
    <row r="15" spans="1:4" ht="12.75" customHeight="1">
      <c r="C15" s="21"/>
      <c r="D15" s="105"/>
    </row>
    <row r="16" spans="1:4" ht="12.75" customHeight="1">
      <c r="A16" s="18" t="s">
        <v>19</v>
      </c>
      <c r="B16" s="4" t="s">
        <v>28</v>
      </c>
      <c r="D16" s="48">
        <f>'IV. Mizarska dela'!F28</f>
        <v>9107</v>
      </c>
    </row>
    <row r="18" spans="1:4" ht="12.75" customHeight="1">
      <c r="A18" s="18" t="s">
        <v>21</v>
      </c>
      <c r="B18" s="4" t="s">
        <v>63</v>
      </c>
      <c r="D18" s="48">
        <f>' V. Pred. stene in spušč. str.'!F24</f>
        <v>22948.890999999996</v>
      </c>
    </row>
    <row r="20" spans="1:4" ht="12.75" customHeight="1">
      <c r="A20" s="18" t="s">
        <v>29</v>
      </c>
      <c r="B20" s="4" t="s">
        <v>30</v>
      </c>
      <c r="D20" s="48">
        <f>'VI. Keramičarska dela'!F18</f>
        <v>17008.599999999999</v>
      </c>
    </row>
    <row r="22" spans="1:4" ht="12.75" customHeight="1">
      <c r="A22" s="18" t="s">
        <v>31</v>
      </c>
      <c r="B22" s="4" t="s">
        <v>32</v>
      </c>
      <c r="D22" s="48">
        <f>'VII. Fasaderska dela'!F18</f>
        <v>56215.756000000008</v>
      </c>
    </row>
    <row r="24" spans="1:4" ht="12.75" customHeight="1">
      <c r="A24" s="18" t="s">
        <v>33</v>
      </c>
      <c r="B24" s="4" t="s">
        <v>34</v>
      </c>
      <c r="D24" s="48">
        <f>'VIII. Slikopleskarska dela'!F14</f>
        <v>5524.3</v>
      </c>
    </row>
    <row r="25" spans="1:4" s="2" customFormat="1" ht="12.75" customHeight="1">
      <c r="A25" s="18"/>
      <c r="B25" s="4"/>
      <c r="C25" s="20"/>
      <c r="D25" s="48"/>
    </row>
    <row r="26" spans="1:4" s="2" customFormat="1" ht="12.75" customHeight="1">
      <c r="A26" s="18" t="s">
        <v>35</v>
      </c>
      <c r="B26" s="4" t="s">
        <v>26</v>
      </c>
      <c r="C26" s="20"/>
      <c r="D26" s="48">
        <f>'IX. Razna obrtniška dela'!F56</f>
        <v>66012.924999999988</v>
      </c>
    </row>
    <row r="27" spans="1:4" s="2" customFormat="1" ht="12.75" customHeight="1">
      <c r="A27" s="18"/>
      <c r="B27" s="4"/>
      <c r="C27" s="28"/>
      <c r="D27" s="102"/>
    </row>
    <row r="28" spans="1:4" ht="12.75" customHeight="1">
      <c r="A28" s="90"/>
      <c r="B28" s="91"/>
    </row>
    <row r="29" spans="1:4" ht="12.75" customHeight="1">
      <c r="A29" s="8"/>
      <c r="B29" s="106" t="s">
        <v>14</v>
      </c>
      <c r="C29" s="47"/>
    </row>
    <row r="30" spans="1:4" ht="12.75" customHeight="1">
      <c r="C30" s="47"/>
    </row>
    <row r="31" spans="1:4" ht="16.5" customHeight="1">
      <c r="C31" s="47"/>
    </row>
    <row r="32" spans="1:4" ht="12.75" customHeight="1">
      <c r="C32" s="47"/>
    </row>
    <row r="33" spans="2:3" ht="12.75" customHeight="1">
      <c r="C33" s="101"/>
    </row>
    <row r="34" spans="2:3" ht="12.75" customHeight="1">
      <c r="B34" s="67"/>
    </row>
    <row r="35" spans="2:3" ht="12.75" customHeight="1">
      <c r="C35" s="24"/>
    </row>
  </sheetData>
  <pageMargins left="0.98425196850393704" right="0.55118110236220474" top="0.74803149606299213" bottom="0.74803149606299213" header="0.31496062992125984" footer="0.31496062992125984"/>
  <pageSetup paperSize="9" orientation="portrait" horizontalDpi="300" verticalDpi="300" r:id="rId1"/>
  <headerFooter alignWithMargins="0">
    <oddHeader>&amp;C&amp;F; &amp;A</oddHeader>
    <oddFooter>&amp;C&amp;14&amp;Y&amp;P od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List43">
    <tabColor rgb="FFFFFF00"/>
  </sheetPr>
  <dimension ref="A1:F26"/>
  <sheetViews>
    <sheetView view="pageBreakPreview" zoomScaleSheetLayoutView="100" workbookViewId="0">
      <selection activeCell="B30" sqref="B30"/>
    </sheetView>
  </sheetViews>
  <sheetFormatPr defaultColWidth="9.140625" defaultRowHeight="12.75"/>
  <cols>
    <col min="1" max="1" width="7.140625" customWidth="1"/>
    <col min="2" max="2" width="51.5703125" customWidth="1"/>
    <col min="3" max="3" width="6.140625" customWidth="1"/>
    <col min="4" max="4" width="8.28515625" style="70" customWidth="1"/>
    <col min="5" max="5" width="9.140625" customWidth="1"/>
    <col min="6" max="6" width="12.85546875" customWidth="1"/>
  </cols>
  <sheetData>
    <row r="1" spans="1:6">
      <c r="A1" s="93" t="s">
        <v>16</v>
      </c>
      <c r="B1" s="12" t="s">
        <v>25</v>
      </c>
      <c r="C1" s="13"/>
      <c r="D1" s="86"/>
      <c r="E1" s="13"/>
      <c r="F1" s="30"/>
    </row>
    <row r="2" spans="1:6" ht="4.5" customHeight="1">
      <c r="A2" s="78"/>
      <c r="B2" s="78"/>
      <c r="C2" s="79"/>
      <c r="D2" s="87"/>
      <c r="E2" s="79"/>
      <c r="F2" s="79"/>
    </row>
    <row r="3" spans="1:6" ht="25.5">
      <c r="A3" s="92" t="s">
        <v>36</v>
      </c>
      <c r="B3" s="14" t="s">
        <v>0</v>
      </c>
      <c r="C3" s="15" t="s">
        <v>3</v>
      </c>
      <c r="D3" s="88" t="s">
        <v>1</v>
      </c>
      <c r="E3" s="17" t="s">
        <v>2</v>
      </c>
      <c r="F3" s="107" t="s">
        <v>163</v>
      </c>
    </row>
    <row r="4" spans="1:6" s="2" customFormat="1" ht="12.75" customHeight="1">
      <c r="A4" s="8"/>
      <c r="B4" s="5"/>
      <c r="C4" s="45"/>
      <c r="D4" s="82"/>
      <c r="E4" s="38"/>
      <c r="F4" s="38"/>
    </row>
    <row r="5" spans="1:6" ht="76.5">
      <c r="B5" s="103" t="s">
        <v>74</v>
      </c>
      <c r="D5"/>
    </row>
    <row r="6" spans="1:6">
      <c r="A6" s="18"/>
      <c r="B6" s="22"/>
      <c r="C6" s="23"/>
      <c r="D6" s="25"/>
      <c r="E6" s="25"/>
      <c r="F6" s="25"/>
    </row>
    <row r="7" spans="1:6" ht="114.75">
      <c r="A7" s="18" t="s">
        <v>11</v>
      </c>
      <c r="B7" s="22" t="s">
        <v>75</v>
      </c>
      <c r="C7" s="23" t="s">
        <v>4</v>
      </c>
      <c r="D7" s="25">
        <v>244.5</v>
      </c>
      <c r="E7" s="25">
        <v>37</v>
      </c>
      <c r="F7" s="25">
        <f>D7*E7</f>
        <v>9046.5</v>
      </c>
    </row>
    <row r="8" spans="1:6">
      <c r="A8" s="18"/>
      <c r="B8" s="22"/>
      <c r="C8" s="23"/>
      <c r="D8" s="25"/>
      <c r="E8" s="25"/>
      <c r="F8" s="25"/>
    </row>
    <row r="9" spans="1:6" ht="38.25">
      <c r="A9" s="18" t="s">
        <v>12</v>
      </c>
      <c r="B9" s="22" t="s">
        <v>76</v>
      </c>
      <c r="C9" s="23" t="s">
        <v>6</v>
      </c>
      <c r="D9" s="25">
        <v>14</v>
      </c>
      <c r="E9" s="25">
        <v>19.89</v>
      </c>
      <c r="F9" s="25">
        <f>D9*E9</f>
        <v>278.46000000000004</v>
      </c>
    </row>
    <row r="10" spans="1:6">
      <c r="A10" s="18"/>
      <c r="B10" s="22"/>
      <c r="C10" s="23"/>
      <c r="D10" s="25"/>
      <c r="E10" s="25"/>
      <c r="F10" s="25"/>
    </row>
    <row r="11" spans="1:6" ht="39" customHeight="1">
      <c r="A11" s="18" t="s">
        <v>13</v>
      </c>
      <c r="B11" s="22" t="s">
        <v>77</v>
      </c>
      <c r="C11" s="23" t="s">
        <v>8</v>
      </c>
      <c r="D11" s="25">
        <v>4</v>
      </c>
      <c r="E11" s="25">
        <v>180</v>
      </c>
      <c r="F11" s="25">
        <f>D11*E11</f>
        <v>720</v>
      </c>
    </row>
    <row r="12" spans="1:6">
      <c r="A12" s="18"/>
      <c r="B12" s="22"/>
      <c r="C12" s="23"/>
      <c r="D12" s="25"/>
      <c r="E12" s="25"/>
      <c r="F12" s="25"/>
    </row>
    <row r="13" spans="1:6" ht="114.75">
      <c r="A13" s="18" t="s">
        <v>37</v>
      </c>
      <c r="B13" s="22" t="s">
        <v>78</v>
      </c>
      <c r="C13" s="23" t="s">
        <v>6</v>
      </c>
      <c r="D13" s="25">
        <v>103.2</v>
      </c>
      <c r="E13" s="25">
        <v>50</v>
      </c>
      <c r="F13" s="25">
        <f>D13*E13</f>
        <v>5160</v>
      </c>
    </row>
    <row r="14" spans="1:6">
      <c r="A14" s="18"/>
      <c r="B14" s="22"/>
      <c r="C14" s="23"/>
      <c r="D14" s="25"/>
      <c r="E14" s="25"/>
      <c r="F14" s="25"/>
    </row>
    <row r="15" spans="1:6" ht="76.5">
      <c r="A15" s="18" t="s">
        <v>38</v>
      </c>
      <c r="B15" s="22" t="s">
        <v>79</v>
      </c>
      <c r="C15" s="23" t="s">
        <v>6</v>
      </c>
      <c r="D15" s="25">
        <v>103.2</v>
      </c>
      <c r="E15" s="25">
        <v>14.9</v>
      </c>
      <c r="F15" s="25">
        <f>D15*E15</f>
        <v>1537.68</v>
      </c>
    </row>
    <row r="16" spans="1:6">
      <c r="A16" s="18"/>
      <c r="B16" s="22"/>
      <c r="C16" s="23"/>
      <c r="D16" s="25"/>
      <c r="E16" s="25"/>
      <c r="F16" s="25"/>
    </row>
    <row r="17" spans="1:6" ht="51">
      <c r="A17" s="18" t="s">
        <v>39</v>
      </c>
      <c r="B17" s="22" t="s">
        <v>80</v>
      </c>
      <c r="C17" s="23" t="s">
        <v>6</v>
      </c>
      <c r="D17" s="25">
        <v>103.2</v>
      </c>
      <c r="E17" s="25">
        <v>20</v>
      </c>
      <c r="F17" s="25">
        <f>D17*E17</f>
        <v>2064</v>
      </c>
    </row>
    <row r="18" spans="1:6">
      <c r="A18" s="18"/>
      <c r="B18" s="22"/>
      <c r="C18" s="23"/>
      <c r="D18" s="25"/>
      <c r="E18" s="25"/>
      <c r="F18" s="25"/>
    </row>
    <row r="19" spans="1:6" ht="39" customHeight="1">
      <c r="A19" s="18" t="s">
        <v>40</v>
      </c>
      <c r="B19" s="22" t="s">
        <v>81</v>
      </c>
      <c r="C19" s="23" t="s">
        <v>6</v>
      </c>
      <c r="D19" s="25">
        <v>94.2</v>
      </c>
      <c r="E19" s="25">
        <v>32</v>
      </c>
      <c r="F19" s="25">
        <f>D19*E19</f>
        <v>3014.4</v>
      </c>
    </row>
    <row r="20" spans="1:6">
      <c r="A20" s="18"/>
      <c r="B20" s="22"/>
      <c r="C20" s="23"/>
      <c r="D20" s="25"/>
      <c r="E20" s="25"/>
      <c r="F20" s="25"/>
    </row>
    <row r="21" spans="1:6" ht="25.5">
      <c r="A21" s="18" t="s">
        <v>41</v>
      </c>
      <c r="B21" s="94" t="s">
        <v>82</v>
      </c>
      <c r="C21" s="23" t="s">
        <v>6</v>
      </c>
      <c r="D21" s="25">
        <v>25</v>
      </c>
      <c r="E21" s="41">
        <v>25</v>
      </c>
      <c r="F21" s="25">
        <f>D21*E21</f>
        <v>625</v>
      </c>
    </row>
    <row r="22" spans="1:6" ht="13.5" customHeight="1">
      <c r="A22" s="42"/>
      <c r="B22" s="40"/>
      <c r="C22" s="23"/>
      <c r="D22" s="25"/>
      <c r="E22" s="25"/>
      <c r="F22" s="25"/>
    </row>
    <row r="23" spans="1:6" ht="38.25">
      <c r="A23" s="18" t="s">
        <v>42</v>
      </c>
      <c r="B23" s="94" t="s">
        <v>83</v>
      </c>
      <c r="C23" s="23" t="s">
        <v>72</v>
      </c>
      <c r="D23" s="25">
        <v>1</v>
      </c>
      <c r="E23" s="25">
        <v>673.38</v>
      </c>
      <c r="F23" s="25">
        <f>D23*E23</f>
        <v>673.38</v>
      </c>
    </row>
    <row r="24" spans="1:6" ht="9.9499999999999993" customHeight="1">
      <c r="A24" s="18"/>
      <c r="B24" s="26"/>
      <c r="C24" s="27"/>
      <c r="D24" s="89"/>
      <c r="E24" s="43"/>
      <c r="F24" s="43"/>
    </row>
    <row r="25" spans="1:6" ht="9.9499999999999993" customHeight="1">
      <c r="A25" s="29"/>
      <c r="B25" s="4"/>
      <c r="C25" s="19"/>
      <c r="D25" s="31"/>
      <c r="E25" s="21"/>
      <c r="F25" s="21"/>
    </row>
    <row r="26" spans="1:6" ht="12.75" customHeight="1">
      <c r="A26" s="18"/>
      <c r="B26" s="5"/>
      <c r="C26" s="9" t="s">
        <v>14</v>
      </c>
      <c r="D26" s="31"/>
      <c r="E26" s="21"/>
      <c r="F26" s="38">
        <f>SUM(F4:F23)</f>
        <v>23119.420000000002</v>
      </c>
    </row>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4">
    <tabColor rgb="FF7030A0"/>
  </sheetPr>
  <dimension ref="A5:F21"/>
  <sheetViews>
    <sheetView view="pageBreakPreview" zoomScaleNormal="100" zoomScaleSheetLayoutView="100" workbookViewId="0">
      <selection activeCell="B23" sqref="B23"/>
    </sheetView>
  </sheetViews>
  <sheetFormatPr defaultColWidth="9.140625" defaultRowHeight="12.75"/>
  <cols>
    <col min="1" max="1" width="5.85546875" style="196" customWidth="1"/>
    <col min="2" max="2" width="46.85546875" style="196" customWidth="1"/>
    <col min="3" max="3" width="6.140625" style="196" customWidth="1"/>
    <col min="4" max="4" width="8" style="197" customWidth="1"/>
    <col min="5" max="5" width="7.28515625" style="197" customWidth="1"/>
    <col min="6" max="6" width="12.85546875" style="148" customWidth="1"/>
    <col min="7" max="16384" width="9.140625" style="196"/>
  </cols>
  <sheetData>
    <row r="5" spans="1:6" s="199" customFormat="1" ht="15.75">
      <c r="A5" s="198" t="s">
        <v>11</v>
      </c>
      <c r="B5" s="200" t="s">
        <v>9</v>
      </c>
      <c r="D5" s="201"/>
      <c r="E5" s="201"/>
      <c r="F5" s="436"/>
    </row>
    <row r="7" spans="1:6">
      <c r="A7" s="202" t="s">
        <v>16</v>
      </c>
      <c r="B7" s="203" t="s">
        <v>269</v>
      </c>
      <c r="F7" s="435">
        <f>'I.Pripr._odstr. dela'!F59</f>
        <v>0</v>
      </c>
    </row>
    <row r="8" spans="1:6">
      <c r="A8" s="202"/>
      <c r="B8" s="203"/>
      <c r="F8" s="437"/>
    </row>
    <row r="9" spans="1:6">
      <c r="A9" s="202" t="s">
        <v>18</v>
      </c>
      <c r="B9" s="203" t="s">
        <v>196</v>
      </c>
      <c r="F9" s="435">
        <f>'II.Zemeljska dela'!F14</f>
        <v>0</v>
      </c>
    </row>
    <row r="10" spans="1:6">
      <c r="A10" s="202"/>
      <c r="B10" s="203"/>
      <c r="F10" s="435"/>
    </row>
    <row r="11" spans="1:6">
      <c r="A11" s="202" t="s">
        <v>19</v>
      </c>
      <c r="B11" s="203" t="s">
        <v>197</v>
      </c>
      <c r="F11" s="435">
        <f>'III.AB dela'!F89</f>
        <v>0</v>
      </c>
    </row>
    <row r="12" spans="1:6">
      <c r="A12" s="202"/>
      <c r="B12" s="203"/>
      <c r="F12" s="435"/>
    </row>
    <row r="13" spans="1:6">
      <c r="A13" s="202" t="s">
        <v>21</v>
      </c>
      <c r="B13" s="203" t="s">
        <v>22</v>
      </c>
      <c r="F13" s="435">
        <f>'IV.Tesarska dela'!F116</f>
        <v>0</v>
      </c>
    </row>
    <row r="14" spans="1:6">
      <c r="A14" s="202"/>
      <c r="B14" s="203"/>
      <c r="F14" s="435"/>
    </row>
    <row r="15" spans="1:6">
      <c r="A15" s="202" t="s">
        <v>29</v>
      </c>
      <c r="B15" s="203" t="s">
        <v>20</v>
      </c>
      <c r="F15" s="435">
        <f>'VI.Zidarska dela'!F109</f>
        <v>0</v>
      </c>
    </row>
    <row r="16" spans="1:6">
      <c r="B16" s="203"/>
      <c r="F16" s="435"/>
    </row>
    <row r="17" spans="1:6">
      <c r="A17" s="202" t="s">
        <v>31</v>
      </c>
      <c r="B17" s="203" t="s">
        <v>198</v>
      </c>
      <c r="F17" s="435">
        <f>VII.Kanalizacija!F38</f>
        <v>0</v>
      </c>
    </row>
    <row r="18" spans="1:6">
      <c r="A18" s="204"/>
      <c r="B18" s="204"/>
      <c r="C18" s="204"/>
      <c r="D18" s="205"/>
      <c r="E18" s="205"/>
      <c r="F18" s="438"/>
    </row>
    <row r="19" spans="1:6">
      <c r="F19" s="435"/>
    </row>
    <row r="20" spans="1:6">
      <c r="B20" s="206" t="s">
        <v>14</v>
      </c>
      <c r="F20" s="435">
        <f>SUM(F6:F19)</f>
        <v>0</v>
      </c>
    </row>
    <row r="21" spans="1:6">
      <c r="F21" s="439"/>
    </row>
  </sheetData>
  <sheetProtection algorithmName="SHA-512" hashValue="bOu6cYW1E/pBP0bvtkWvPJTvbqFWvlXc3kftQVeaP8lGLLHtfoGReoFQDmQ2agpssLvt9BvcT0ZFgGoz7oXfTg==" saltValue="L6vg6oI+1miHZkLFQ806WQ==" spinCount="100000" sheet="1" objects="1" scenarios="1"/>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List44">
    <tabColor rgb="FFFFFF00"/>
  </sheetPr>
  <dimension ref="A1:F43"/>
  <sheetViews>
    <sheetView view="pageBreakPreview" zoomScaleSheetLayoutView="100" workbookViewId="0">
      <selection activeCell="B30" sqref="B30"/>
    </sheetView>
  </sheetViews>
  <sheetFormatPr defaultColWidth="9.140625" defaultRowHeight="12.75"/>
  <cols>
    <col min="1" max="1" width="7.28515625" customWidth="1"/>
    <col min="2" max="2" width="51.5703125" customWidth="1"/>
    <col min="3" max="3" width="6.140625" customWidth="1"/>
    <col min="4" max="4" width="8.28515625" customWidth="1"/>
    <col min="6" max="6" width="12.85546875" customWidth="1"/>
  </cols>
  <sheetData>
    <row r="1" spans="1:6">
      <c r="A1" s="93" t="s">
        <v>17</v>
      </c>
      <c r="B1" s="12" t="s">
        <v>57</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23" customFormat="1" ht="12.75" customHeight="1">
      <c r="A4" s="2"/>
      <c r="B4" s="2"/>
      <c r="C4"/>
      <c r="D4"/>
      <c r="E4"/>
      <c r="F4"/>
    </row>
    <row r="5" spans="1:6" s="23" customFormat="1" ht="409.5">
      <c r="A5" s="41"/>
      <c r="B5" s="104" t="s">
        <v>84</v>
      </c>
      <c r="C5"/>
      <c r="D5"/>
      <c r="E5"/>
      <c r="F5"/>
    </row>
    <row r="6" spans="1:6" s="23" customFormat="1">
      <c r="A6" s="18"/>
      <c r="B6" s="67"/>
      <c r="C6"/>
      <c r="D6"/>
      <c r="E6"/>
      <c r="F6"/>
    </row>
    <row r="7" spans="1:6" s="23" customFormat="1" ht="25.5">
      <c r="A7" s="18" t="s">
        <v>11</v>
      </c>
      <c r="B7" s="4" t="s">
        <v>85</v>
      </c>
      <c r="C7" t="s">
        <v>8</v>
      </c>
      <c r="D7" s="95">
        <v>21</v>
      </c>
      <c r="E7">
        <v>96</v>
      </c>
      <c r="F7">
        <f>D7*E7</f>
        <v>2016</v>
      </c>
    </row>
    <row r="8" spans="1:6" s="23" customFormat="1" ht="12.75" customHeight="1">
      <c r="A8" s="41"/>
      <c r="B8"/>
      <c r="D8" s="25"/>
      <c r="E8" s="25"/>
      <c r="F8"/>
    </row>
    <row r="9" spans="1:6" s="23" customFormat="1" ht="25.5">
      <c r="A9" s="18" t="s">
        <v>12</v>
      </c>
      <c r="B9" s="4" t="s">
        <v>86</v>
      </c>
      <c r="D9" s="25"/>
      <c r="E9" s="25"/>
      <c r="F9"/>
    </row>
    <row r="10" spans="1:6" s="23" customFormat="1">
      <c r="A10" s="18"/>
      <c r="B10" s="4"/>
      <c r="D10" s="25"/>
      <c r="E10" s="25"/>
      <c r="F10"/>
    </row>
    <row r="11" spans="1:6" s="23" customFormat="1" ht="12.75" customHeight="1">
      <c r="A11" s="41"/>
      <c r="B11" s="67" t="s">
        <v>58</v>
      </c>
      <c r="C11" s="23" t="s">
        <v>8</v>
      </c>
      <c r="D11" s="25">
        <v>2</v>
      </c>
      <c r="E11" s="25">
        <v>353.7</v>
      </c>
      <c r="F11">
        <f t="shared" ref="F11:F27" si="0">D11*E11</f>
        <v>707.4</v>
      </c>
    </row>
    <row r="12" spans="1:6" s="23" customFormat="1" ht="12.75" customHeight="1">
      <c r="A12" s="41"/>
      <c r="B12" s="67"/>
      <c r="D12" s="25"/>
      <c r="E12" s="25"/>
      <c r="F12"/>
    </row>
    <row r="13" spans="1:6" s="23" customFormat="1" ht="12.75" customHeight="1">
      <c r="A13" s="41"/>
      <c r="B13" s="67" t="s">
        <v>59</v>
      </c>
      <c r="C13" s="23" t="s">
        <v>8</v>
      </c>
      <c r="D13" s="25">
        <v>1</v>
      </c>
      <c r="E13" s="25">
        <v>661.78</v>
      </c>
      <c r="F13">
        <f t="shared" si="0"/>
        <v>661.78</v>
      </c>
    </row>
    <row r="14" spans="1:6" s="23" customFormat="1" ht="12.75" customHeight="1">
      <c r="A14" s="41"/>
      <c r="B14" s="67"/>
      <c r="D14" s="25"/>
      <c r="E14" s="25"/>
      <c r="F14"/>
    </row>
    <row r="15" spans="1:6" s="23" customFormat="1" ht="38.25">
      <c r="A15" s="18" t="s">
        <v>13</v>
      </c>
      <c r="B15" s="4" t="s">
        <v>87</v>
      </c>
      <c r="C15" s="23" t="s">
        <v>6</v>
      </c>
      <c r="D15" s="25">
        <v>153.80000000000001</v>
      </c>
      <c r="E15" s="25">
        <v>22.8</v>
      </c>
      <c r="F15">
        <f t="shared" si="0"/>
        <v>3506.6400000000003</v>
      </c>
    </row>
    <row r="16" spans="1:6" s="23" customFormat="1" ht="12.75" customHeight="1">
      <c r="A16" s="41"/>
      <c r="B16" s="67"/>
      <c r="D16" s="25"/>
      <c r="E16" s="25"/>
      <c r="F16"/>
    </row>
    <row r="17" spans="1:6" s="23" customFormat="1" ht="38.25">
      <c r="A17" s="18" t="s">
        <v>37</v>
      </c>
      <c r="B17" s="4" t="s">
        <v>88</v>
      </c>
      <c r="C17" s="23" t="s">
        <v>8</v>
      </c>
      <c r="D17" s="25">
        <v>1</v>
      </c>
      <c r="E17" s="25">
        <v>90</v>
      </c>
      <c r="F17">
        <f t="shared" si="0"/>
        <v>90</v>
      </c>
    </row>
    <row r="18" spans="1:6" s="23" customFormat="1" ht="12.75" customHeight="1">
      <c r="A18" s="18"/>
      <c r="B18" s="4"/>
      <c r="D18" s="25"/>
      <c r="E18" s="25"/>
      <c r="F18"/>
    </row>
    <row r="19" spans="1:6" s="23" customFormat="1" ht="25.5">
      <c r="A19" s="18" t="s">
        <v>38</v>
      </c>
      <c r="B19" s="4" t="s">
        <v>89</v>
      </c>
      <c r="C19" s="23" t="s">
        <v>6</v>
      </c>
      <c r="D19" s="25">
        <v>48.5</v>
      </c>
      <c r="E19" s="25">
        <v>20</v>
      </c>
      <c r="F19">
        <f t="shared" si="0"/>
        <v>970</v>
      </c>
    </row>
    <row r="20" spans="1:6" s="23" customFormat="1" ht="12.75" customHeight="1">
      <c r="A20" s="18"/>
      <c r="B20" s="4"/>
      <c r="D20" s="25"/>
      <c r="E20" s="25"/>
      <c r="F20"/>
    </row>
    <row r="21" spans="1:6" s="23" customFormat="1" ht="38.25">
      <c r="A21" s="18" t="s">
        <v>39</v>
      </c>
      <c r="B21" s="4" t="s">
        <v>90</v>
      </c>
      <c r="C21" s="23" t="s">
        <v>6</v>
      </c>
      <c r="D21" s="25">
        <v>43.5</v>
      </c>
      <c r="E21" s="25">
        <v>40</v>
      </c>
      <c r="F21">
        <f t="shared" si="0"/>
        <v>1740</v>
      </c>
    </row>
    <row r="22" spans="1:6" s="23" customFormat="1" ht="12.75" customHeight="1">
      <c r="A22" s="18"/>
      <c r="B22" s="96"/>
      <c r="D22" s="25"/>
      <c r="E22" s="25"/>
      <c r="F22"/>
    </row>
    <row r="23" spans="1:6" s="23" customFormat="1" ht="25.5">
      <c r="A23" s="18" t="s">
        <v>40</v>
      </c>
      <c r="B23" s="4" t="s">
        <v>91</v>
      </c>
      <c r="C23" s="23" t="s">
        <v>7</v>
      </c>
      <c r="D23" s="25">
        <v>100</v>
      </c>
      <c r="E23" s="25">
        <v>5</v>
      </c>
      <c r="F23">
        <f t="shared" si="0"/>
        <v>500</v>
      </c>
    </row>
    <row r="24" spans="1:6" s="23" customFormat="1" ht="12.75" customHeight="1">
      <c r="A24" s="18"/>
      <c r="B24" s="96"/>
      <c r="D24" s="25"/>
      <c r="E24" s="25"/>
      <c r="F24"/>
    </row>
    <row r="25" spans="1:6" s="23" customFormat="1" ht="51">
      <c r="A25" s="18" t="s">
        <v>41</v>
      </c>
      <c r="B25" s="4" t="s">
        <v>92</v>
      </c>
      <c r="C25" s="23" t="s">
        <v>8</v>
      </c>
      <c r="D25" s="25">
        <v>14</v>
      </c>
      <c r="E25" s="25">
        <v>100</v>
      </c>
      <c r="F25">
        <f t="shared" si="0"/>
        <v>1400</v>
      </c>
    </row>
    <row r="26" spans="1:6" s="23" customFormat="1" ht="12.75" customHeight="1">
      <c r="A26" s="18"/>
      <c r="B26" s="96"/>
      <c r="D26" s="25"/>
      <c r="E26" s="25"/>
      <c r="F26"/>
    </row>
    <row r="27" spans="1:6" s="23" customFormat="1" ht="25.5">
      <c r="A27" s="18" t="s">
        <v>42</v>
      </c>
      <c r="B27" s="4" t="s">
        <v>93</v>
      </c>
      <c r="C27" s="23" t="s">
        <v>6</v>
      </c>
      <c r="D27" s="25">
        <v>38.9</v>
      </c>
      <c r="E27" s="25">
        <v>18</v>
      </c>
      <c r="F27">
        <f t="shared" si="0"/>
        <v>700.19999999999993</v>
      </c>
    </row>
    <row r="28" spans="1:6" s="23" customFormat="1" ht="9.75" customHeight="1">
      <c r="A28" s="46"/>
      <c r="B28" s="68"/>
      <c r="C28" s="11"/>
      <c r="D28" s="69"/>
      <c r="E28" s="69"/>
      <c r="F28" s="69"/>
    </row>
    <row r="29" spans="1:6" s="23" customFormat="1" ht="9.75" customHeight="1">
      <c r="A29"/>
      <c r="B29"/>
      <c r="C29"/>
      <c r="D29" s="70"/>
      <c r="E29" s="70"/>
      <c r="F29" s="70"/>
    </row>
    <row r="30" spans="1:6" s="23" customFormat="1" ht="12.75" customHeight="1">
      <c r="A30"/>
      <c r="B30" s="5"/>
      <c r="C30" s="9" t="s">
        <v>14</v>
      </c>
      <c r="D30" s="38"/>
      <c r="E30" s="70"/>
      <c r="F30" s="83">
        <f>SUM(F5:F29)</f>
        <v>12292.02</v>
      </c>
    </row>
    <row r="43"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List45">
    <tabColor rgb="FFFFFF00"/>
  </sheetPr>
  <dimension ref="A1:F53"/>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c r="A1" s="93" t="s">
        <v>18</v>
      </c>
      <c r="B1" s="12" t="s">
        <v>27</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1" customFormat="1" ht="12.75" customHeight="1">
      <c r="A4" s="8"/>
      <c r="B4" s="5"/>
      <c r="C4" s="45"/>
      <c r="D4" s="37"/>
      <c r="E4" s="38"/>
      <c r="F4" s="38"/>
    </row>
    <row r="5" spans="1:6" s="10" customFormat="1" ht="89.25" customHeight="1">
      <c r="A5" s="18"/>
      <c r="B5" s="97" t="s">
        <v>94</v>
      </c>
      <c r="C5" s="23"/>
      <c r="D5" s="24"/>
      <c r="E5" s="25"/>
      <c r="F5" s="25"/>
    </row>
    <row r="6" spans="1:6" s="10" customFormat="1">
      <c r="A6" s="18"/>
      <c r="B6" s="4"/>
      <c r="C6" s="23"/>
      <c r="D6" s="24"/>
      <c r="E6" s="25"/>
      <c r="F6" s="25"/>
    </row>
    <row r="7" spans="1:6" s="10" customFormat="1" ht="140.25">
      <c r="A7" s="18" t="s">
        <v>11</v>
      </c>
      <c r="B7" s="22" t="s">
        <v>95</v>
      </c>
      <c r="C7" s="23"/>
      <c r="D7" s="24"/>
      <c r="E7" s="25"/>
      <c r="F7" s="25"/>
    </row>
    <row r="8" spans="1:6" s="10" customFormat="1">
      <c r="A8" s="18"/>
      <c r="B8" s="22"/>
      <c r="C8" s="23"/>
      <c r="D8" s="24"/>
      <c r="E8" s="25"/>
      <c r="F8" s="25"/>
    </row>
    <row r="9" spans="1:6" s="10" customFormat="1" ht="25.5">
      <c r="A9" s="18"/>
      <c r="B9" s="22" t="s">
        <v>96</v>
      </c>
      <c r="C9" s="23" t="s">
        <v>8</v>
      </c>
      <c r="D9" s="24">
        <v>1</v>
      </c>
      <c r="E9" s="25">
        <v>487.3</v>
      </c>
      <c r="F9" s="25">
        <f>D9*E9</f>
        <v>487.3</v>
      </c>
    </row>
    <row r="10" spans="1:6" s="10" customFormat="1">
      <c r="A10" s="18"/>
      <c r="B10" s="22"/>
      <c r="C10" s="23"/>
      <c r="D10" s="24"/>
      <c r="E10" s="25"/>
      <c r="F10" s="25"/>
    </row>
    <row r="11" spans="1:6" s="10" customFormat="1" ht="25.5">
      <c r="A11" s="18"/>
      <c r="B11" s="22" t="s">
        <v>97</v>
      </c>
      <c r="C11" s="23" t="s">
        <v>8</v>
      </c>
      <c r="D11" s="24">
        <v>1</v>
      </c>
      <c r="E11" s="25">
        <v>454.9</v>
      </c>
      <c r="F11" s="25">
        <f>D11*E11</f>
        <v>454.9</v>
      </c>
    </row>
    <row r="12" spans="1:6" s="10" customFormat="1">
      <c r="A12" s="18"/>
      <c r="B12" s="22"/>
      <c r="C12" s="23"/>
      <c r="D12" s="24"/>
      <c r="E12" s="25"/>
      <c r="F12" s="25"/>
    </row>
    <row r="13" spans="1:6" s="10" customFormat="1" ht="25.5">
      <c r="A13" s="18"/>
      <c r="B13" s="22" t="s">
        <v>98</v>
      </c>
      <c r="C13" s="23" t="s">
        <v>8</v>
      </c>
      <c r="D13" s="24">
        <v>2</v>
      </c>
      <c r="E13" s="25">
        <v>844</v>
      </c>
      <c r="F13" s="25">
        <f>D13*E13</f>
        <v>1688</v>
      </c>
    </row>
    <row r="14" spans="1:6" s="10" customFormat="1">
      <c r="A14" s="18"/>
      <c r="B14" s="22"/>
      <c r="C14" s="23"/>
      <c r="D14" s="24"/>
      <c r="E14" s="25"/>
      <c r="F14" s="25"/>
    </row>
    <row r="15" spans="1:6" s="10" customFormat="1" ht="25.5">
      <c r="A15" s="18"/>
      <c r="B15" s="22" t="s">
        <v>100</v>
      </c>
      <c r="C15" s="23" t="s">
        <v>8</v>
      </c>
      <c r="D15" s="24">
        <v>1</v>
      </c>
      <c r="E15" s="25">
        <v>904.3</v>
      </c>
      <c r="F15" s="25">
        <f>D15*E15</f>
        <v>904.3</v>
      </c>
    </row>
    <row r="16" spans="1:6" s="10" customFormat="1">
      <c r="A16" s="18"/>
      <c r="B16" s="22"/>
      <c r="C16" s="23"/>
      <c r="D16" s="24"/>
      <c r="E16" s="25"/>
      <c r="F16" s="25"/>
    </row>
    <row r="17" spans="1:6" s="10" customFormat="1" ht="51">
      <c r="A17" s="18"/>
      <c r="B17" s="22" t="s">
        <v>99</v>
      </c>
      <c r="C17" s="23" t="s">
        <v>8</v>
      </c>
      <c r="D17" s="24">
        <v>2</v>
      </c>
      <c r="E17" s="25">
        <v>1980.1</v>
      </c>
      <c r="F17" s="25">
        <f>D17*E17</f>
        <v>3960.2</v>
      </c>
    </row>
    <row r="18" spans="1:6" s="10" customFormat="1" ht="24.75" customHeight="1">
      <c r="A18" s="18"/>
      <c r="B18" s="22"/>
      <c r="C18" s="23"/>
      <c r="D18" s="24"/>
      <c r="E18" s="25"/>
      <c r="F18" s="25"/>
    </row>
    <row r="19" spans="1:6" s="10" customFormat="1" ht="102">
      <c r="A19" s="18" t="s">
        <v>12</v>
      </c>
      <c r="B19" s="22" t="s">
        <v>101</v>
      </c>
      <c r="C19" s="23"/>
      <c r="D19" s="24"/>
      <c r="E19" s="25"/>
      <c r="F19" s="25"/>
    </row>
    <row r="20" spans="1:6" s="10" customFormat="1">
      <c r="A20" s="18"/>
      <c r="B20" s="22"/>
      <c r="C20" s="23"/>
      <c r="D20" s="24"/>
      <c r="E20" s="25"/>
      <c r="F20" s="25"/>
    </row>
    <row r="21" spans="1:6" s="10" customFormat="1">
      <c r="A21" s="18"/>
      <c r="B21" s="22" t="s">
        <v>102</v>
      </c>
      <c r="C21" s="23" t="s">
        <v>8</v>
      </c>
      <c r="D21" s="24">
        <v>6</v>
      </c>
      <c r="E21" s="25">
        <v>1409</v>
      </c>
      <c r="F21" s="25">
        <f>D21*E21</f>
        <v>8454</v>
      </c>
    </row>
    <row r="22" spans="1:6" s="10" customFormat="1">
      <c r="A22" s="18"/>
      <c r="B22" s="22"/>
      <c r="C22" s="23"/>
      <c r="D22" s="24"/>
      <c r="E22" s="25"/>
      <c r="F22" s="25"/>
    </row>
    <row r="23" spans="1:6" s="10" customFormat="1">
      <c r="A23" s="18"/>
      <c r="B23" s="22" t="s">
        <v>103</v>
      </c>
      <c r="C23" s="23" t="s">
        <v>8</v>
      </c>
      <c r="D23" s="24">
        <v>6</v>
      </c>
      <c r="E23" s="25">
        <v>1534.1</v>
      </c>
      <c r="F23" s="25">
        <f>D23*E23</f>
        <v>9204.5999999999985</v>
      </c>
    </row>
    <row r="24" spans="1:6" s="10" customFormat="1">
      <c r="A24" s="18"/>
      <c r="B24" s="22"/>
      <c r="C24" s="23"/>
      <c r="D24" s="24"/>
      <c r="E24" s="25"/>
      <c r="F24" s="25"/>
    </row>
    <row r="25" spans="1:6" s="10" customFormat="1" ht="90" customHeight="1">
      <c r="A25" s="18"/>
      <c r="B25" s="22" t="s">
        <v>104</v>
      </c>
      <c r="C25" s="23" t="s">
        <v>8</v>
      </c>
      <c r="D25" s="24">
        <v>8</v>
      </c>
      <c r="E25" s="25">
        <v>1625.5</v>
      </c>
      <c r="F25" s="25">
        <f>D25*E25</f>
        <v>13004</v>
      </c>
    </row>
    <row r="26" spans="1:6" s="10" customFormat="1">
      <c r="A26" s="18"/>
      <c r="B26" s="22"/>
      <c r="C26" s="23"/>
      <c r="D26" s="24"/>
      <c r="E26" s="25"/>
      <c r="F26" s="25"/>
    </row>
    <row r="27" spans="1:6" s="10" customFormat="1" ht="25.5">
      <c r="A27" s="18"/>
      <c r="B27" s="22" t="s">
        <v>105</v>
      </c>
      <c r="C27" s="23" t="s">
        <v>8</v>
      </c>
      <c r="D27" s="24">
        <v>1</v>
      </c>
      <c r="E27" s="25">
        <v>3444</v>
      </c>
      <c r="F27" s="25">
        <f>D27*E27</f>
        <v>3444</v>
      </c>
    </row>
    <row r="28" spans="1:6" s="10" customFormat="1">
      <c r="A28" s="18"/>
      <c r="B28" s="22"/>
      <c r="C28" s="23"/>
      <c r="D28" s="24"/>
      <c r="E28" s="25"/>
      <c r="F28" s="25"/>
    </row>
    <row r="29" spans="1:6" s="10" customFormat="1" ht="25.5">
      <c r="A29" s="18"/>
      <c r="B29" s="22" t="s">
        <v>106</v>
      </c>
      <c r="C29" s="23" t="s">
        <v>8</v>
      </c>
      <c r="D29" s="24">
        <v>1</v>
      </c>
      <c r="E29" s="25">
        <v>1520.6</v>
      </c>
      <c r="F29" s="25">
        <f>D29*E29</f>
        <v>1520.6</v>
      </c>
    </row>
    <row r="30" spans="1:6" s="10" customFormat="1">
      <c r="A30" s="18"/>
      <c r="B30" s="22"/>
      <c r="C30" s="23"/>
      <c r="D30" s="24"/>
      <c r="E30" s="25"/>
      <c r="F30" s="25"/>
    </row>
    <row r="31" spans="1:6" s="10" customFormat="1" ht="25.5">
      <c r="A31" s="18"/>
      <c r="B31" s="22" t="s">
        <v>107</v>
      </c>
      <c r="C31" s="23" t="s">
        <v>8</v>
      </c>
      <c r="D31" s="24">
        <v>6</v>
      </c>
      <c r="E31" s="25">
        <v>1333.7</v>
      </c>
      <c r="F31" s="25">
        <f>D31*E31</f>
        <v>8002.2000000000007</v>
      </c>
    </row>
    <row r="32" spans="1:6" s="10" customFormat="1">
      <c r="A32" s="18"/>
      <c r="B32" s="22"/>
      <c r="C32" s="23"/>
      <c r="D32" s="24"/>
      <c r="E32" s="25"/>
      <c r="F32" s="25"/>
    </row>
    <row r="33" spans="1:6" s="10" customFormat="1" ht="25.5">
      <c r="A33" s="18" t="s">
        <v>13</v>
      </c>
      <c r="B33" s="22" t="s">
        <v>108</v>
      </c>
      <c r="C33" s="23" t="s">
        <v>6</v>
      </c>
      <c r="D33" s="24">
        <v>13.9</v>
      </c>
      <c r="E33" s="25">
        <v>21.7</v>
      </c>
      <c r="F33" s="25">
        <f>D33*E33</f>
        <v>301.63</v>
      </c>
    </row>
    <row r="34" spans="1:6" s="10" customFormat="1">
      <c r="A34" s="18"/>
      <c r="B34" s="22"/>
      <c r="C34" s="23"/>
      <c r="D34" s="24"/>
      <c r="E34" s="25"/>
      <c r="F34" s="25"/>
    </row>
    <row r="35" spans="1:6" s="10" customFormat="1">
      <c r="A35" s="18" t="s">
        <v>37</v>
      </c>
      <c r="B35" s="22" t="s">
        <v>109</v>
      </c>
      <c r="C35" s="23"/>
      <c r="D35" s="24"/>
      <c r="E35" s="25"/>
      <c r="F35" s="25"/>
    </row>
    <row r="36" spans="1:6" s="10" customFormat="1">
      <c r="A36" s="18"/>
      <c r="B36" s="22"/>
      <c r="C36" s="23"/>
      <c r="D36" s="24"/>
      <c r="E36" s="25"/>
      <c r="F36" s="25"/>
    </row>
    <row r="37" spans="1:6" s="10" customFormat="1">
      <c r="A37" s="18"/>
      <c r="B37" s="22" t="s">
        <v>60</v>
      </c>
      <c r="C37" s="23" t="s">
        <v>8</v>
      </c>
      <c r="D37" s="24">
        <v>2</v>
      </c>
      <c r="E37" s="25">
        <v>89.6</v>
      </c>
      <c r="F37" s="25">
        <f>D37*E37</f>
        <v>179.2</v>
      </c>
    </row>
    <row r="38" spans="1:6" s="10" customFormat="1">
      <c r="A38" s="18"/>
      <c r="B38" s="22"/>
      <c r="C38" s="23"/>
      <c r="D38" s="24"/>
      <c r="E38" s="25"/>
      <c r="F38" s="25"/>
    </row>
    <row r="39" spans="1:6" s="10" customFormat="1">
      <c r="A39" s="18"/>
      <c r="B39" s="22" t="s">
        <v>61</v>
      </c>
      <c r="C39" s="23" t="s">
        <v>8</v>
      </c>
      <c r="D39" s="24">
        <v>2</v>
      </c>
      <c r="E39" s="25">
        <v>68</v>
      </c>
      <c r="F39" s="25">
        <f>D39*E39</f>
        <v>136</v>
      </c>
    </row>
    <row r="40" spans="1:6">
      <c r="A40" s="18"/>
      <c r="B40" s="26"/>
      <c r="C40" s="27"/>
      <c r="D40" s="28"/>
      <c r="E40" s="43"/>
      <c r="F40" s="43"/>
    </row>
    <row r="41" spans="1:6" ht="9.9499999999999993" customHeight="1">
      <c r="A41" s="29"/>
      <c r="B41" s="4"/>
      <c r="C41" s="19"/>
      <c r="D41" s="20"/>
      <c r="E41" s="21"/>
      <c r="F41" s="21"/>
    </row>
    <row r="42" spans="1:6" ht="12.75" customHeight="1">
      <c r="A42" s="18"/>
      <c r="B42" s="5"/>
      <c r="C42" s="9" t="s">
        <v>14</v>
      </c>
      <c r="D42" s="20"/>
      <c r="E42" s="21"/>
      <c r="F42" s="38">
        <f>SUM(F4:F40)</f>
        <v>51740.93</v>
      </c>
    </row>
    <row r="53"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List46">
    <tabColor rgb="FFFFFF00"/>
  </sheetPr>
  <dimension ref="A1:F3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c r="A1" s="93" t="s">
        <v>19</v>
      </c>
      <c r="B1" s="12" t="s">
        <v>28</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1" customFormat="1" ht="12.75" customHeight="1">
      <c r="A4" s="8"/>
      <c r="B4" s="5"/>
      <c r="C4" s="45"/>
      <c r="D4" s="37"/>
      <c r="E4" s="38"/>
      <c r="F4" s="38"/>
    </row>
    <row r="5" spans="1:6" s="10" customFormat="1" ht="77.25" customHeight="1">
      <c r="A5" s="18"/>
      <c r="B5" s="97" t="s">
        <v>110</v>
      </c>
      <c r="C5" s="23"/>
      <c r="D5" s="24"/>
      <c r="E5" s="25"/>
      <c r="F5" s="25"/>
    </row>
    <row r="6" spans="1:6" s="10" customFormat="1">
      <c r="A6" s="18"/>
      <c r="B6" s="4"/>
      <c r="C6" s="23"/>
      <c r="D6" s="24"/>
      <c r="E6" s="25"/>
      <c r="F6" s="25"/>
    </row>
    <row r="7" spans="1:6" s="10" customFormat="1" ht="63.75">
      <c r="A7" s="18" t="s">
        <v>11</v>
      </c>
      <c r="B7" s="22" t="s">
        <v>111</v>
      </c>
      <c r="C7" s="23"/>
      <c r="D7" s="24"/>
      <c r="E7" s="25"/>
      <c r="F7" s="25"/>
    </row>
    <row r="8" spans="1:6" s="10" customFormat="1">
      <c r="A8" s="18"/>
      <c r="B8" s="22"/>
      <c r="C8" s="23"/>
      <c r="D8" s="24"/>
      <c r="E8" s="25"/>
      <c r="F8" s="25"/>
    </row>
    <row r="9" spans="1:6" s="10" customFormat="1" ht="38.25">
      <c r="A9" s="18"/>
      <c r="B9" s="22" t="s">
        <v>112</v>
      </c>
      <c r="C9" s="23" t="s">
        <v>8</v>
      </c>
      <c r="D9" s="24">
        <v>7</v>
      </c>
      <c r="E9" s="25">
        <v>428</v>
      </c>
      <c r="F9" s="25">
        <f>D9*E9</f>
        <v>2996</v>
      </c>
    </row>
    <row r="10" spans="1:6" s="10" customFormat="1">
      <c r="A10" s="18"/>
      <c r="B10" s="22"/>
      <c r="C10" s="23"/>
      <c r="D10" s="24"/>
      <c r="E10" s="25"/>
      <c r="F10" s="25"/>
    </row>
    <row r="11" spans="1:6" s="10" customFormat="1" ht="38.25">
      <c r="A11" s="18"/>
      <c r="B11" s="22" t="s">
        <v>113</v>
      </c>
      <c r="C11" s="23" t="s">
        <v>8</v>
      </c>
      <c r="D11" s="24">
        <v>3</v>
      </c>
      <c r="E11" s="25">
        <v>420</v>
      </c>
      <c r="F11" s="25">
        <f t="shared" ref="F11:F25" si="0">D11*E11</f>
        <v>1260</v>
      </c>
    </row>
    <row r="12" spans="1:6" s="10" customFormat="1">
      <c r="A12" s="18"/>
      <c r="B12" s="22"/>
      <c r="C12" s="23"/>
      <c r="D12" s="24"/>
      <c r="E12" s="25"/>
      <c r="F12" s="25"/>
    </row>
    <row r="13" spans="1:6" s="10" customFormat="1" ht="25.5">
      <c r="A13" s="18"/>
      <c r="B13" s="22" t="s">
        <v>114</v>
      </c>
      <c r="C13" s="23" t="s">
        <v>8</v>
      </c>
      <c r="D13" s="24">
        <v>2</v>
      </c>
      <c r="E13" s="25">
        <v>420</v>
      </c>
      <c r="F13" s="25">
        <f t="shared" si="0"/>
        <v>840</v>
      </c>
    </row>
    <row r="14" spans="1:6" s="10" customFormat="1">
      <c r="A14" s="18"/>
      <c r="B14" s="22"/>
      <c r="C14" s="23"/>
      <c r="D14" s="24"/>
      <c r="E14" s="25"/>
      <c r="F14" s="25"/>
    </row>
    <row r="15" spans="1:6" s="10" customFormat="1" ht="25.5">
      <c r="A15" s="18"/>
      <c r="B15" s="22" t="s">
        <v>115</v>
      </c>
      <c r="C15" s="23" t="s">
        <v>8</v>
      </c>
      <c r="D15" s="24">
        <v>1</v>
      </c>
      <c r="E15" s="25">
        <v>420</v>
      </c>
      <c r="F15" s="25">
        <f t="shared" si="0"/>
        <v>420</v>
      </c>
    </row>
    <row r="16" spans="1:6" s="10" customFormat="1" ht="13.5" customHeight="1">
      <c r="A16" s="18"/>
      <c r="B16" s="22"/>
      <c r="C16" s="23"/>
      <c r="D16" s="24"/>
      <c r="E16" s="25"/>
      <c r="F16" s="25"/>
    </row>
    <row r="17" spans="1:6" s="10" customFormat="1" ht="51">
      <c r="A17" s="18" t="s">
        <v>12</v>
      </c>
      <c r="B17" s="22" t="s">
        <v>116</v>
      </c>
      <c r="C17" s="23" t="s">
        <v>4</v>
      </c>
      <c r="D17" s="24">
        <v>12.7</v>
      </c>
      <c r="E17" s="25">
        <v>170</v>
      </c>
      <c r="F17" s="25">
        <f t="shared" si="0"/>
        <v>2159</v>
      </c>
    </row>
    <row r="18" spans="1:6" s="10" customFormat="1" ht="12.75" customHeight="1">
      <c r="A18" s="18"/>
      <c r="B18" s="22"/>
      <c r="C18" s="23"/>
      <c r="D18" s="24"/>
      <c r="E18" s="25"/>
      <c r="F18" s="25"/>
    </row>
    <row r="19" spans="1:6" s="10" customFormat="1" ht="25.5">
      <c r="A19" s="18" t="s">
        <v>13</v>
      </c>
      <c r="B19" s="22" t="s">
        <v>117</v>
      </c>
      <c r="C19" s="23" t="s">
        <v>8</v>
      </c>
      <c r="D19" s="24">
        <v>5</v>
      </c>
      <c r="E19" s="25">
        <v>221</v>
      </c>
      <c r="F19" s="25">
        <f t="shared" si="0"/>
        <v>1105</v>
      </c>
    </row>
    <row r="20" spans="1:6" s="10" customFormat="1">
      <c r="A20" s="18"/>
      <c r="B20" s="22"/>
      <c r="C20" s="23"/>
      <c r="D20" s="24"/>
      <c r="E20" s="25"/>
      <c r="F20" s="25"/>
    </row>
    <row r="21" spans="1:6" s="10" customFormat="1" ht="51">
      <c r="A21" s="18" t="s">
        <v>37</v>
      </c>
      <c r="B21" s="22" t="s">
        <v>118</v>
      </c>
      <c r="C21" s="23"/>
      <c r="D21" s="24"/>
      <c r="E21" s="25"/>
      <c r="F21" s="25"/>
    </row>
    <row r="22" spans="1:6" s="10" customFormat="1">
      <c r="A22" s="18"/>
      <c r="B22" s="22"/>
      <c r="C22" s="23"/>
      <c r="D22" s="24"/>
      <c r="E22" s="25"/>
      <c r="F22" s="25"/>
    </row>
    <row r="23" spans="1:6" s="10" customFormat="1">
      <c r="A23" s="18"/>
      <c r="B23" s="22" t="s">
        <v>119</v>
      </c>
      <c r="C23" s="23" t="s">
        <v>8</v>
      </c>
      <c r="D23" s="24">
        <v>2</v>
      </c>
      <c r="E23" s="25">
        <v>75</v>
      </c>
      <c r="F23" s="25">
        <f t="shared" si="0"/>
        <v>150</v>
      </c>
    </row>
    <row r="24" spans="1:6" s="10" customFormat="1">
      <c r="A24" s="18"/>
      <c r="B24" s="22"/>
      <c r="C24" s="23"/>
      <c r="D24" s="24"/>
      <c r="E24" s="25"/>
      <c r="F24" s="25"/>
    </row>
    <row r="25" spans="1:6" s="10" customFormat="1">
      <c r="A25" s="18"/>
      <c r="B25" s="22" t="s">
        <v>120</v>
      </c>
      <c r="C25" s="23" t="s">
        <v>8</v>
      </c>
      <c r="D25" s="24">
        <v>3</v>
      </c>
      <c r="E25" s="25">
        <v>59</v>
      </c>
      <c r="F25" s="25">
        <f t="shared" si="0"/>
        <v>177</v>
      </c>
    </row>
    <row r="26" spans="1:6" ht="12.75" customHeight="1">
      <c r="A26" s="18"/>
      <c r="B26" s="26"/>
      <c r="C26" s="27"/>
      <c r="D26" s="28"/>
      <c r="E26" s="43"/>
      <c r="F26" s="43"/>
    </row>
    <row r="27" spans="1:6" ht="12.75" customHeight="1">
      <c r="A27" s="29"/>
      <c r="B27" s="4"/>
      <c r="C27" s="19"/>
      <c r="D27" s="20"/>
      <c r="E27" s="21"/>
      <c r="F27" s="21"/>
    </row>
    <row r="28" spans="1:6" ht="12.75" customHeight="1">
      <c r="A28" s="18"/>
      <c r="B28" s="5"/>
      <c r="C28" s="9" t="s">
        <v>14</v>
      </c>
      <c r="D28" s="20"/>
      <c r="E28" s="21"/>
      <c r="F28" s="38">
        <f>SUM(F4:F26)</f>
        <v>9107</v>
      </c>
    </row>
    <row r="39"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List47">
    <tabColor rgb="FFFFFF00"/>
  </sheetPr>
  <dimension ref="A1:F35"/>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c r="A1" s="93" t="s">
        <v>21</v>
      </c>
      <c r="B1" s="12" t="s">
        <v>62</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1" customFormat="1" ht="12.75" customHeight="1">
      <c r="A4" s="8"/>
      <c r="B4" s="5"/>
      <c r="C4" s="45"/>
      <c r="D4" s="37"/>
      <c r="E4" s="38"/>
      <c r="F4" s="38"/>
    </row>
    <row r="5" spans="1:6" s="10" customFormat="1" ht="38.25">
      <c r="A5" s="18"/>
      <c r="B5" s="97" t="s">
        <v>121</v>
      </c>
      <c r="C5" s="23"/>
      <c r="D5" s="24"/>
      <c r="E5" s="25"/>
      <c r="F5" s="25"/>
    </row>
    <row r="6" spans="1:6" s="10" customFormat="1">
      <c r="A6" s="18"/>
      <c r="B6" s="4"/>
      <c r="C6" s="23"/>
      <c r="D6" s="24"/>
      <c r="E6" s="25"/>
      <c r="F6" s="25"/>
    </row>
    <row r="7" spans="1:6" s="10" customFormat="1" ht="89.25">
      <c r="A7" s="18" t="s">
        <v>11</v>
      </c>
      <c r="B7" s="22" t="s">
        <v>122</v>
      </c>
      <c r="C7" s="23" t="s">
        <v>4</v>
      </c>
      <c r="D7" s="24">
        <v>111.2</v>
      </c>
      <c r="E7" s="25">
        <v>35.28</v>
      </c>
      <c r="F7" s="25">
        <f>D7*E7</f>
        <v>3923.1360000000004</v>
      </c>
    </row>
    <row r="8" spans="1:6" s="10" customFormat="1">
      <c r="A8" s="18"/>
      <c r="B8" s="22"/>
      <c r="C8" s="23"/>
      <c r="D8" s="24"/>
      <c r="E8" s="25"/>
      <c r="F8" s="25"/>
    </row>
    <row r="9" spans="1:6" s="10" customFormat="1" ht="102">
      <c r="A9" s="18" t="s">
        <v>12</v>
      </c>
      <c r="B9" s="22" t="s">
        <v>123</v>
      </c>
      <c r="C9" s="23" t="s">
        <v>4</v>
      </c>
      <c r="D9" s="24">
        <v>104.3</v>
      </c>
      <c r="E9" s="25">
        <v>49.26</v>
      </c>
      <c r="F9" s="25">
        <f t="shared" ref="F9:F21" si="0">D9*E9</f>
        <v>5137.8179999999993</v>
      </c>
    </row>
    <row r="10" spans="1:6" s="10" customFormat="1">
      <c r="A10" s="18"/>
      <c r="B10" s="22"/>
      <c r="C10" s="23"/>
      <c r="D10" s="24"/>
      <c r="E10" s="25"/>
      <c r="F10" s="25"/>
    </row>
    <row r="11" spans="1:6" s="10" customFormat="1" ht="89.25">
      <c r="A11" s="18" t="s">
        <v>13</v>
      </c>
      <c r="B11" s="22" t="s">
        <v>124</v>
      </c>
      <c r="C11" s="23" t="s">
        <v>4</v>
      </c>
      <c r="D11" s="24">
        <v>10.9</v>
      </c>
      <c r="E11" s="25">
        <v>63.57</v>
      </c>
      <c r="F11" s="25">
        <f t="shared" si="0"/>
        <v>692.91300000000001</v>
      </c>
    </row>
    <row r="12" spans="1:6" s="10" customFormat="1">
      <c r="A12" s="18"/>
      <c r="B12" s="22"/>
      <c r="C12" s="23"/>
      <c r="D12" s="24"/>
      <c r="E12" s="25"/>
      <c r="F12" s="25"/>
    </row>
    <row r="13" spans="1:6" s="10" customFormat="1" ht="25.5">
      <c r="A13" s="18" t="s">
        <v>44</v>
      </c>
      <c r="B13" s="22" t="s">
        <v>125</v>
      </c>
      <c r="C13" s="23" t="s">
        <v>4</v>
      </c>
      <c r="D13" s="24">
        <v>12.2</v>
      </c>
      <c r="E13" s="25">
        <v>64.19</v>
      </c>
      <c r="F13" s="25">
        <f t="shared" si="0"/>
        <v>783.11799999999994</v>
      </c>
    </row>
    <row r="14" spans="1:6" s="10" customFormat="1" ht="12.75" customHeight="1">
      <c r="A14" s="18"/>
      <c r="B14" s="22"/>
      <c r="C14" s="23"/>
      <c r="D14" s="24"/>
      <c r="E14" s="25"/>
      <c r="F14" s="25"/>
    </row>
    <row r="15" spans="1:6" s="10" customFormat="1" ht="76.5" customHeight="1">
      <c r="A15" s="18" t="s">
        <v>37</v>
      </c>
      <c r="B15" s="22" t="s">
        <v>126</v>
      </c>
      <c r="C15" s="23" t="s">
        <v>8</v>
      </c>
      <c r="D15" s="24">
        <v>111.6</v>
      </c>
      <c r="E15" s="25">
        <v>50.66</v>
      </c>
      <c r="F15" s="25">
        <f t="shared" si="0"/>
        <v>5653.655999999999</v>
      </c>
    </row>
    <row r="16" spans="1:6" s="10" customFormat="1">
      <c r="A16" s="18"/>
      <c r="B16" s="22"/>
      <c r="C16" s="23"/>
      <c r="D16" s="24"/>
      <c r="E16" s="25"/>
      <c r="F16" s="25"/>
    </row>
    <row r="17" spans="1:6" s="10" customFormat="1" ht="89.25">
      <c r="A17" s="18" t="s">
        <v>38</v>
      </c>
      <c r="B17" s="22" t="s">
        <v>127</v>
      </c>
      <c r="C17" s="23" t="s">
        <v>4</v>
      </c>
      <c r="D17" s="24">
        <v>115.6</v>
      </c>
      <c r="E17" s="25">
        <v>36.799999999999997</v>
      </c>
      <c r="F17" s="25">
        <f t="shared" si="0"/>
        <v>4254.079999999999</v>
      </c>
    </row>
    <row r="18" spans="1:6" s="10" customFormat="1">
      <c r="A18" s="18"/>
      <c r="B18" s="22"/>
      <c r="C18" s="23"/>
      <c r="D18" s="24"/>
      <c r="E18" s="25"/>
      <c r="F18" s="25"/>
    </row>
    <row r="19" spans="1:6" s="10" customFormat="1" ht="25.5">
      <c r="A19" s="18" t="s">
        <v>39</v>
      </c>
      <c r="B19" s="22" t="s">
        <v>128</v>
      </c>
      <c r="C19" s="23" t="s">
        <v>8</v>
      </c>
      <c r="D19" s="24">
        <v>11</v>
      </c>
      <c r="E19" s="25">
        <v>220</v>
      </c>
      <c r="F19" s="25">
        <f t="shared" si="0"/>
        <v>2420</v>
      </c>
    </row>
    <row r="20" spans="1:6" s="10" customFormat="1">
      <c r="A20" s="18"/>
      <c r="B20" s="22"/>
      <c r="C20" s="23"/>
      <c r="D20" s="24"/>
      <c r="E20" s="25"/>
      <c r="F20" s="25"/>
    </row>
    <row r="21" spans="1:6" s="10" customFormat="1" ht="38.25">
      <c r="A21" s="18" t="s">
        <v>40</v>
      </c>
      <c r="B21" s="22" t="s">
        <v>129</v>
      </c>
      <c r="C21" s="23" t="s">
        <v>6</v>
      </c>
      <c r="D21" s="24">
        <v>3.8</v>
      </c>
      <c r="E21" s="25">
        <v>22.15</v>
      </c>
      <c r="F21" s="25">
        <f t="shared" si="0"/>
        <v>84.169999999999987</v>
      </c>
    </row>
    <row r="22" spans="1:6" ht="12.75" customHeight="1">
      <c r="A22" s="18"/>
      <c r="B22" s="26"/>
      <c r="C22" s="27"/>
      <c r="D22" s="28"/>
      <c r="E22" s="43"/>
      <c r="F22" s="43"/>
    </row>
    <row r="23" spans="1:6" ht="12.75" customHeight="1">
      <c r="A23" s="29"/>
      <c r="B23" s="4"/>
      <c r="C23" s="19"/>
      <c r="D23" s="20"/>
      <c r="E23" s="21"/>
      <c r="F23" s="21"/>
    </row>
    <row r="24" spans="1:6" ht="12.75" customHeight="1">
      <c r="A24" s="18"/>
      <c r="B24" s="5"/>
      <c r="C24" s="9" t="s">
        <v>14</v>
      </c>
      <c r="D24" s="20"/>
      <c r="E24" s="21"/>
      <c r="F24" s="38">
        <f>SUM(F4:F22)</f>
        <v>22948.890999999996</v>
      </c>
    </row>
    <row r="35"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List48">
    <tabColor rgb="FFFFFF00"/>
  </sheetPr>
  <dimension ref="A1:F29"/>
  <sheetViews>
    <sheetView view="pageBreakPreview" zoomScaleSheetLayoutView="100" workbookViewId="0">
      <selection activeCell="B30" sqref="B30"/>
    </sheetView>
  </sheetViews>
  <sheetFormatPr defaultRowHeight="12.75"/>
  <cols>
    <col min="1" max="1" width="7.28515625" customWidth="1"/>
    <col min="2" max="2" width="51.5703125" customWidth="1"/>
    <col min="3" max="3" width="6.140625" customWidth="1"/>
    <col min="4" max="4" width="8.28515625" customWidth="1"/>
    <col min="5" max="5" width="9.140625" customWidth="1"/>
    <col min="6" max="6" width="12.85546875" customWidth="1"/>
  </cols>
  <sheetData>
    <row r="1" spans="1:6">
      <c r="A1" s="93" t="s">
        <v>29</v>
      </c>
      <c r="B1" s="12" t="s">
        <v>30</v>
      </c>
      <c r="C1" s="13"/>
      <c r="D1" s="13"/>
      <c r="E1" s="13"/>
      <c r="F1" s="30"/>
    </row>
    <row r="2" spans="1:6" ht="4.5" customHeight="1">
      <c r="A2" s="78"/>
      <c r="B2" s="78"/>
      <c r="C2" s="79"/>
      <c r="D2" s="79"/>
      <c r="E2" s="79"/>
      <c r="F2" s="79"/>
    </row>
    <row r="3" spans="1:6" ht="25.5">
      <c r="A3" s="92" t="s">
        <v>36</v>
      </c>
      <c r="B3" s="14" t="s">
        <v>0</v>
      </c>
      <c r="C3" s="15" t="s">
        <v>3</v>
      </c>
      <c r="D3" s="16" t="s">
        <v>1</v>
      </c>
      <c r="E3" s="17" t="s">
        <v>2</v>
      </c>
      <c r="F3" s="107" t="s">
        <v>163</v>
      </c>
    </row>
    <row r="4" spans="1:6" s="1" customFormat="1" ht="12.75" customHeight="1">
      <c r="A4" s="8"/>
      <c r="B4" s="5"/>
      <c r="C4" s="45"/>
      <c r="D4" s="37"/>
      <c r="E4" s="38"/>
      <c r="F4" s="38"/>
    </row>
    <row r="5" spans="1:6" s="10" customFormat="1" ht="89.25">
      <c r="A5" s="18" t="s">
        <v>11</v>
      </c>
      <c r="B5" s="22" t="s">
        <v>130</v>
      </c>
      <c r="C5" s="23" t="s">
        <v>4</v>
      </c>
      <c r="D5" s="24">
        <v>115.6</v>
      </c>
      <c r="E5" s="25">
        <v>35</v>
      </c>
      <c r="F5" s="25">
        <f>D5*E5</f>
        <v>4046</v>
      </c>
    </row>
    <row r="6" spans="1:6" s="10" customFormat="1">
      <c r="A6" s="18"/>
      <c r="B6" s="22"/>
      <c r="C6" s="23"/>
      <c r="D6" s="24"/>
      <c r="E6" s="25"/>
      <c r="F6" s="25"/>
    </row>
    <row r="7" spans="1:6" s="10" customFormat="1" ht="89.25">
      <c r="A7" s="18" t="s">
        <v>12</v>
      </c>
      <c r="B7" s="22" t="s">
        <v>131</v>
      </c>
      <c r="C7" s="23" t="s">
        <v>4</v>
      </c>
      <c r="D7" s="24">
        <v>167.5</v>
      </c>
      <c r="E7" s="25">
        <v>35</v>
      </c>
      <c r="F7" s="25">
        <f t="shared" ref="F7:F15" si="0">D7*E7</f>
        <v>5862.5</v>
      </c>
    </row>
    <row r="8" spans="1:6" s="10" customFormat="1" ht="12.75" customHeight="1">
      <c r="A8" s="18"/>
      <c r="B8" s="22"/>
      <c r="C8" s="23"/>
      <c r="D8" s="24"/>
      <c r="E8" s="25"/>
      <c r="F8" s="25"/>
    </row>
    <row r="9" spans="1:6" s="10" customFormat="1" ht="14.25" customHeight="1">
      <c r="A9" s="18" t="s">
        <v>13</v>
      </c>
      <c r="B9" s="22" t="s">
        <v>132</v>
      </c>
      <c r="C9" s="23" t="s">
        <v>6</v>
      </c>
      <c r="D9" s="24">
        <v>68.2</v>
      </c>
      <c r="E9" s="25">
        <v>18</v>
      </c>
      <c r="F9" s="25">
        <f t="shared" si="0"/>
        <v>1227.6000000000001</v>
      </c>
    </row>
    <row r="10" spans="1:6" s="10" customFormat="1" ht="13.5" customHeight="1">
      <c r="A10" s="18"/>
      <c r="B10" s="22"/>
      <c r="C10" s="23"/>
      <c r="D10" s="24"/>
      <c r="E10" s="25"/>
      <c r="F10" s="25"/>
    </row>
    <row r="11" spans="1:6" s="10" customFormat="1" ht="25.5">
      <c r="A11" s="18" t="s">
        <v>37</v>
      </c>
      <c r="B11" s="22" t="s">
        <v>133</v>
      </c>
      <c r="C11" s="23" t="s">
        <v>6</v>
      </c>
      <c r="D11" s="24">
        <v>259</v>
      </c>
      <c r="E11" s="25">
        <v>11</v>
      </c>
      <c r="F11" s="25">
        <f t="shared" si="0"/>
        <v>2849</v>
      </c>
    </row>
    <row r="12" spans="1:6" s="10" customFormat="1" ht="12.75" customHeight="1">
      <c r="A12" s="18"/>
      <c r="B12" s="22"/>
      <c r="C12" s="23"/>
      <c r="D12" s="24"/>
      <c r="E12" s="25"/>
      <c r="F12" s="25"/>
    </row>
    <row r="13" spans="1:6" s="10" customFormat="1" ht="38.25">
      <c r="A13" s="18" t="s">
        <v>38</v>
      </c>
      <c r="B13" s="22" t="s">
        <v>134</v>
      </c>
      <c r="C13" s="23" t="s">
        <v>4</v>
      </c>
      <c r="D13" s="24">
        <v>82.1</v>
      </c>
      <c r="E13" s="25">
        <v>35</v>
      </c>
      <c r="F13" s="25">
        <f t="shared" si="0"/>
        <v>2873.5</v>
      </c>
    </row>
    <row r="14" spans="1:6" s="10" customFormat="1" ht="12.75" customHeight="1">
      <c r="A14" s="18"/>
      <c r="B14" s="22"/>
      <c r="C14" s="23"/>
      <c r="D14" s="24"/>
      <c r="E14" s="25"/>
      <c r="F14" s="25"/>
    </row>
    <row r="15" spans="1:6" s="10" customFormat="1" ht="25.5">
      <c r="A15" s="18" t="s">
        <v>39</v>
      </c>
      <c r="B15" s="22" t="s">
        <v>135</v>
      </c>
      <c r="C15" s="23" t="s">
        <v>4</v>
      </c>
      <c r="D15" s="24">
        <v>10</v>
      </c>
      <c r="E15" s="25">
        <v>15</v>
      </c>
      <c r="F15" s="25">
        <f t="shared" si="0"/>
        <v>150</v>
      </c>
    </row>
    <row r="16" spans="1:6" ht="12.75" customHeight="1">
      <c r="A16" s="18"/>
      <c r="B16" s="26"/>
      <c r="C16" s="27"/>
      <c r="D16" s="28"/>
      <c r="E16" s="43"/>
      <c r="F16" s="43"/>
    </row>
    <row r="17" spans="1:6" ht="12.75" customHeight="1">
      <c r="A17" s="29"/>
      <c r="B17" s="4"/>
      <c r="C17" s="19"/>
      <c r="D17" s="20"/>
      <c r="E17" s="21"/>
      <c r="F17" s="21"/>
    </row>
    <row r="18" spans="1:6" ht="12.75" customHeight="1">
      <c r="A18" s="18"/>
      <c r="B18" s="5"/>
      <c r="C18" s="9" t="s">
        <v>14</v>
      </c>
      <c r="D18" s="20"/>
      <c r="E18" s="21"/>
      <c r="F18" s="38">
        <f>SUM(F4:F16)</f>
        <v>17008.599999999999</v>
      </c>
    </row>
    <row r="29" spans="1:6" ht="16.5" customHeight="1"/>
  </sheetData>
  <pageMargins left="0.98425196850393704" right="0.55118110236220474" top="0.74803149606299213" bottom="0.74803149606299213" header="0.31496062992125984" footer="0.31496062992125984"/>
  <pageSetup paperSize="9" orientation="portrait" verticalDpi="300" r:id="rId1"/>
  <headerFooter alignWithMargins="0">
    <oddHeader>&amp;C&amp;F; &amp;A</oddHeader>
    <oddFooter>&amp;C&amp;14&amp;Y&amp;P od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List49">
    <tabColor rgb="FFFFFF00"/>
  </sheetPr>
  <dimension ref="A1:F28"/>
  <sheetViews>
    <sheetView view="pageBreakPreview" zoomScaleSheetLayoutView="100" workbookViewId="0">
      <selection activeCell="B30" sqref="B30"/>
    </sheetView>
  </sheetViews>
  <sheetFormatPr defaultColWidth="9.140625" defaultRowHeight="12.75"/>
  <cols>
    <col min="1" max="1" width="7.42578125" style="49" customWidth="1"/>
    <col min="2" max="2" width="51.5703125" style="49" customWidth="1"/>
    <col min="3" max="3" width="6.140625" style="49" customWidth="1"/>
    <col min="4" max="5" width="9.140625" style="49"/>
    <col min="6" max="6" width="13.28515625" style="49" customWidth="1"/>
    <col min="7" max="16384" width="9.140625" style="49"/>
  </cols>
  <sheetData>
    <row r="1" spans="1:6">
      <c r="A1" s="108" t="s">
        <v>31</v>
      </c>
      <c r="B1" s="12" t="s">
        <v>32</v>
      </c>
      <c r="C1" s="73"/>
      <c r="D1" s="74"/>
      <c r="E1" s="75"/>
      <c r="F1" s="76"/>
    </row>
    <row r="2" spans="1:6" ht="4.5" customHeight="1">
      <c r="A2" s="84"/>
      <c r="B2" s="78"/>
      <c r="C2" s="77"/>
      <c r="D2" s="77"/>
      <c r="E2" s="77"/>
      <c r="F2" s="77"/>
    </row>
    <row r="3" spans="1:6" ht="25.5">
      <c r="A3" s="52" t="s">
        <v>36</v>
      </c>
      <c r="B3" s="14" t="s">
        <v>0</v>
      </c>
      <c r="C3" s="53" t="s">
        <v>3</v>
      </c>
      <c r="D3" s="54" t="s">
        <v>1</v>
      </c>
      <c r="E3" s="55" t="s">
        <v>2</v>
      </c>
      <c r="F3" s="107" t="s">
        <v>163</v>
      </c>
    </row>
    <row r="4" spans="1:6" ht="12" customHeight="1">
      <c r="A4" s="56"/>
      <c r="B4" s="5"/>
      <c r="C4" s="57"/>
      <c r="D4" s="58"/>
      <c r="E4" s="59"/>
      <c r="F4" s="59"/>
    </row>
    <row r="5" spans="1:6" ht="154.5" customHeight="1">
      <c r="A5" s="56"/>
      <c r="B5" s="97" t="s">
        <v>136</v>
      </c>
      <c r="D5" s="58"/>
      <c r="E5" s="61"/>
      <c r="F5" s="59"/>
    </row>
    <row r="6" spans="1:6">
      <c r="A6" s="56"/>
      <c r="B6" s="60"/>
      <c r="C6" s="85"/>
      <c r="D6" s="58"/>
      <c r="E6" s="61"/>
      <c r="F6" s="59"/>
    </row>
    <row r="7" spans="1:6" ht="140.25">
      <c r="A7" s="56" t="s">
        <v>11</v>
      </c>
      <c r="B7" s="51" t="s">
        <v>137</v>
      </c>
      <c r="C7" s="50" t="s">
        <v>4</v>
      </c>
      <c r="D7" s="98">
        <v>158.80000000000001</v>
      </c>
      <c r="E7" s="99">
        <v>147</v>
      </c>
      <c r="F7" s="99">
        <f t="shared" ref="F7:F15" si="0">D7*E7</f>
        <v>23343.600000000002</v>
      </c>
    </row>
    <row r="8" spans="1:6">
      <c r="A8" s="56"/>
      <c r="B8" s="51"/>
      <c r="C8" s="85"/>
      <c r="D8" s="58"/>
      <c r="E8" s="61"/>
      <c r="F8" s="99"/>
    </row>
    <row r="9" spans="1:6" ht="127.5">
      <c r="A9" s="56" t="s">
        <v>12</v>
      </c>
      <c r="B9" s="51" t="s">
        <v>138</v>
      </c>
      <c r="C9" s="50" t="s">
        <v>4</v>
      </c>
      <c r="D9" s="98">
        <v>40.5</v>
      </c>
      <c r="E9" s="100">
        <v>239.66</v>
      </c>
      <c r="F9" s="99">
        <f t="shared" si="0"/>
        <v>9706.23</v>
      </c>
    </row>
    <row r="10" spans="1:6">
      <c r="A10" s="56"/>
      <c r="B10" s="51"/>
      <c r="C10" s="85"/>
      <c r="D10" s="58"/>
      <c r="E10" s="61"/>
      <c r="F10" s="99"/>
    </row>
    <row r="11" spans="1:6" ht="165.75">
      <c r="A11" s="56" t="s">
        <v>13</v>
      </c>
      <c r="B11" s="51" t="s">
        <v>139</v>
      </c>
      <c r="C11" s="50" t="s">
        <v>4</v>
      </c>
      <c r="D11" s="98">
        <v>16.100000000000001</v>
      </c>
      <c r="E11" s="100">
        <v>197.66</v>
      </c>
      <c r="F11" s="99">
        <f t="shared" si="0"/>
        <v>3182.326</v>
      </c>
    </row>
    <row r="12" spans="1:6">
      <c r="A12" s="56"/>
      <c r="B12" s="51"/>
      <c r="C12" s="50"/>
      <c r="D12" s="98"/>
      <c r="E12" s="100"/>
      <c r="F12" s="99"/>
    </row>
    <row r="13" spans="1:6" ht="114.75">
      <c r="A13" s="56" t="s">
        <v>37</v>
      </c>
      <c r="B13" s="51" t="s">
        <v>140</v>
      </c>
      <c r="C13" s="50" t="s">
        <v>4</v>
      </c>
      <c r="D13" s="98">
        <v>128.80000000000001</v>
      </c>
      <c r="E13" s="100">
        <v>147</v>
      </c>
      <c r="F13" s="99">
        <f t="shared" si="0"/>
        <v>18933.600000000002</v>
      </c>
    </row>
    <row r="14" spans="1:6">
      <c r="A14" s="56"/>
      <c r="B14" s="51"/>
      <c r="C14" s="50"/>
      <c r="D14" s="98"/>
      <c r="E14" s="100"/>
      <c r="F14" s="99"/>
    </row>
    <row r="15" spans="1:6" ht="25.5">
      <c r="A15" s="56" t="s">
        <v>38</v>
      </c>
      <c r="B15" s="51" t="s">
        <v>141</v>
      </c>
      <c r="C15" s="50" t="s">
        <v>8</v>
      </c>
      <c r="D15" s="98">
        <v>7</v>
      </c>
      <c r="E15" s="100">
        <v>150</v>
      </c>
      <c r="F15" s="99">
        <f t="shared" si="0"/>
        <v>1050</v>
      </c>
    </row>
    <row r="16" spans="1:6" ht="9.75" customHeight="1">
      <c r="A16" s="66"/>
      <c r="B16" s="7"/>
      <c r="C16" s="62"/>
      <c r="D16" s="63"/>
      <c r="E16" s="64"/>
      <c r="F16" s="64"/>
    </row>
    <row r="17" spans="1:6" ht="9.75" customHeight="1">
      <c r="A17" s="56"/>
      <c r="B17" s="6"/>
      <c r="C17" s="57"/>
      <c r="D17" s="58"/>
      <c r="E17" s="59"/>
    </row>
    <row r="18" spans="1:6">
      <c r="C18" s="9" t="s">
        <v>14</v>
      </c>
      <c r="F18" s="65">
        <f>SUM(F4:F15)</f>
        <v>56215.756000000008</v>
      </c>
    </row>
    <row r="24" spans="1:6">
      <c r="B24"/>
    </row>
    <row r="28" spans="1:6" ht="16.5" customHeight="1"/>
  </sheetData>
  <conditionalFormatting sqref="E3">
    <cfRule type="expression" dxfId="8" priority="2" stopIfTrue="1">
      <formula>AND(ISBLANK($D3))</formula>
    </cfRule>
    <cfRule type="expression" dxfId="7" priority="3" stopIfTrue="1">
      <formula>AND(ISBLANK(#REF!))</formula>
    </cfRule>
  </conditionalFormatting>
  <conditionalFormatting sqref="E2">
    <cfRule type="cellIs" dxfId="6"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rowBreaks count="1" manualBreakCount="1">
    <brk id="13" max="5"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List50">
    <tabColor rgb="FFFFFF00"/>
  </sheetPr>
  <dimension ref="A1:F24"/>
  <sheetViews>
    <sheetView view="pageBreakPreview" zoomScaleSheetLayoutView="100" workbookViewId="0">
      <selection activeCell="B30" sqref="B30"/>
    </sheetView>
  </sheetViews>
  <sheetFormatPr defaultColWidth="9.140625" defaultRowHeight="12.75"/>
  <cols>
    <col min="1" max="1" width="5.5703125" style="49" customWidth="1"/>
    <col min="2" max="2" width="52.7109375" style="49" customWidth="1"/>
    <col min="3" max="3" width="6.140625" style="49" customWidth="1"/>
    <col min="4" max="5" width="9.140625" style="49"/>
    <col min="6" max="6" width="12.28515625" style="49" customWidth="1"/>
    <col min="7" max="16384" width="9.140625" style="49"/>
  </cols>
  <sheetData>
    <row r="1" spans="1:6">
      <c r="A1" s="108" t="s">
        <v>33</v>
      </c>
      <c r="B1" s="12" t="s">
        <v>34</v>
      </c>
      <c r="C1" s="73"/>
      <c r="D1" s="74"/>
      <c r="E1" s="75"/>
      <c r="F1" s="76"/>
    </row>
    <row r="2" spans="1:6" ht="4.5" customHeight="1">
      <c r="A2" s="84"/>
      <c r="B2" s="78"/>
      <c r="C2" s="77"/>
      <c r="D2" s="77"/>
      <c r="E2" s="77"/>
      <c r="F2" s="77"/>
    </row>
    <row r="3" spans="1:6" ht="25.5">
      <c r="A3" s="52" t="s">
        <v>36</v>
      </c>
      <c r="B3" s="14" t="s">
        <v>0</v>
      </c>
      <c r="C3" s="53" t="s">
        <v>3</v>
      </c>
      <c r="D3" s="54" t="s">
        <v>1</v>
      </c>
      <c r="E3" s="55" t="s">
        <v>2</v>
      </c>
      <c r="F3" s="107" t="s">
        <v>163</v>
      </c>
    </row>
    <row r="4" spans="1:6" ht="12" customHeight="1">
      <c r="A4" s="56"/>
      <c r="B4" s="5"/>
      <c r="C4" s="50"/>
      <c r="D4" s="58"/>
      <c r="E4" s="59"/>
      <c r="F4" s="59"/>
    </row>
    <row r="5" spans="1:6">
      <c r="A5" s="56" t="s">
        <v>11</v>
      </c>
      <c r="B5" s="51" t="s">
        <v>142</v>
      </c>
      <c r="C5" s="50" t="s">
        <v>4</v>
      </c>
      <c r="D5" s="98">
        <v>659</v>
      </c>
      <c r="E5" s="100">
        <v>3.7</v>
      </c>
      <c r="F5" s="99">
        <f>D5*E5</f>
        <v>2438.3000000000002</v>
      </c>
    </row>
    <row r="6" spans="1:6">
      <c r="A6" s="56"/>
      <c r="B6" s="60"/>
      <c r="C6" s="50"/>
      <c r="D6" s="98"/>
      <c r="E6" s="100"/>
      <c r="F6" s="99"/>
    </row>
    <row r="7" spans="1:6" ht="25.5">
      <c r="A7" s="56" t="s">
        <v>12</v>
      </c>
      <c r="B7" s="51" t="s">
        <v>143</v>
      </c>
      <c r="C7" s="50" t="s">
        <v>4</v>
      </c>
      <c r="D7" s="98">
        <v>659</v>
      </c>
      <c r="E7" s="100">
        <v>1.9</v>
      </c>
      <c r="F7" s="99">
        <f>D7*E7</f>
        <v>1252.0999999999999</v>
      </c>
    </row>
    <row r="8" spans="1:6">
      <c r="A8" s="56"/>
      <c r="B8" s="51"/>
      <c r="C8" s="50"/>
      <c r="D8" s="98"/>
      <c r="E8" s="100"/>
      <c r="F8" s="99"/>
    </row>
    <row r="9" spans="1:6" ht="25.5">
      <c r="A9" s="56" t="s">
        <v>13</v>
      </c>
      <c r="B9" s="51" t="s">
        <v>144</v>
      </c>
      <c r="C9" s="50" t="s">
        <v>4</v>
      </c>
      <c r="D9" s="98">
        <v>591</v>
      </c>
      <c r="E9" s="100">
        <v>2.9</v>
      </c>
      <c r="F9" s="99">
        <f>D9*E9</f>
        <v>1713.8999999999999</v>
      </c>
    </row>
    <row r="10" spans="1:6">
      <c r="A10" s="56"/>
      <c r="B10" s="51"/>
      <c r="C10" s="50"/>
      <c r="D10" s="98"/>
      <c r="E10" s="100"/>
      <c r="F10" s="99"/>
    </row>
    <row r="11" spans="1:6" ht="25.5">
      <c r="A11" s="56" t="s">
        <v>37</v>
      </c>
      <c r="B11" s="51" t="s">
        <v>145</v>
      </c>
      <c r="C11" s="50" t="s">
        <v>7</v>
      </c>
      <c r="D11" s="98">
        <v>100</v>
      </c>
      <c r="E11" s="100">
        <v>1.2</v>
      </c>
      <c r="F11" s="99">
        <f>D11*E11</f>
        <v>120</v>
      </c>
    </row>
    <row r="12" spans="1:6" ht="9.75" customHeight="1">
      <c r="A12" s="66"/>
      <c r="B12" s="7"/>
      <c r="C12" s="62"/>
      <c r="D12" s="63"/>
      <c r="E12" s="64"/>
      <c r="F12" s="64"/>
    </row>
    <row r="13" spans="1:6" ht="9.75" customHeight="1">
      <c r="A13" s="56"/>
      <c r="B13" s="6"/>
      <c r="C13" s="57"/>
      <c r="D13" s="58"/>
      <c r="E13" s="59"/>
    </row>
    <row r="14" spans="1:6">
      <c r="C14" s="9" t="s">
        <v>14</v>
      </c>
      <c r="F14" s="65">
        <f>SUM(F4:F11)</f>
        <v>5524.3</v>
      </c>
    </row>
    <row r="20" spans="2:2">
      <c r="B20"/>
    </row>
    <row r="24" spans="2:2" ht="16.5" customHeight="1"/>
  </sheetData>
  <conditionalFormatting sqref="E3">
    <cfRule type="expression" dxfId="5" priority="2" stopIfTrue="1">
      <formula>AND(ISBLANK($D3))</formula>
    </cfRule>
    <cfRule type="expression" dxfId="4" priority="3" stopIfTrue="1">
      <formula>AND(ISBLANK(#REF!))</formula>
    </cfRule>
  </conditionalFormatting>
  <conditionalFormatting sqref="E2">
    <cfRule type="cellIs" dxfId="3"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List51">
    <tabColor rgb="FFFFFF00"/>
  </sheetPr>
  <dimension ref="A1:F66"/>
  <sheetViews>
    <sheetView view="pageBreakPreview" zoomScaleSheetLayoutView="100" workbookViewId="0">
      <selection activeCell="B30" sqref="B30"/>
    </sheetView>
  </sheetViews>
  <sheetFormatPr defaultColWidth="9.140625" defaultRowHeight="12.75"/>
  <cols>
    <col min="1" max="1" width="4.85546875" style="49" customWidth="1"/>
    <col min="2" max="2" width="51.5703125" style="49" customWidth="1"/>
    <col min="3" max="3" width="6.140625" style="49" customWidth="1"/>
    <col min="4" max="5" width="9.140625" style="49"/>
    <col min="6" max="6" width="13.28515625" style="49" customWidth="1"/>
    <col min="7" max="16384" width="9.140625" style="49"/>
  </cols>
  <sheetData>
    <row r="1" spans="1:6">
      <c r="A1" s="108" t="s">
        <v>35</v>
      </c>
      <c r="B1" s="12" t="s">
        <v>26</v>
      </c>
      <c r="C1" s="73"/>
      <c r="D1" s="74"/>
      <c r="E1" s="75"/>
      <c r="F1" s="76"/>
    </row>
    <row r="2" spans="1:6" ht="4.5" customHeight="1">
      <c r="A2" s="84"/>
      <c r="B2" s="78"/>
      <c r="C2" s="77"/>
      <c r="D2" s="77"/>
      <c r="E2" s="77"/>
      <c r="F2" s="77"/>
    </row>
    <row r="3" spans="1:6" ht="25.5">
      <c r="A3" s="52" t="s">
        <v>36</v>
      </c>
      <c r="B3" s="14" t="s">
        <v>0</v>
      </c>
      <c r="C3" s="53" t="s">
        <v>3</v>
      </c>
      <c r="D3" s="54" t="s">
        <v>1</v>
      </c>
      <c r="E3" s="55" t="s">
        <v>2</v>
      </c>
      <c r="F3" s="107" t="s">
        <v>163</v>
      </c>
    </row>
    <row r="4" spans="1:6" ht="12" customHeight="1">
      <c r="A4" s="56"/>
      <c r="B4" s="5"/>
      <c r="C4" s="57"/>
      <c r="D4" s="58"/>
      <c r="E4" s="59"/>
      <c r="F4" s="59"/>
    </row>
    <row r="5" spans="1:6">
      <c r="A5" s="56" t="s">
        <v>11</v>
      </c>
      <c r="B5" s="51" t="s">
        <v>146</v>
      </c>
      <c r="C5" s="50" t="s">
        <v>8</v>
      </c>
      <c r="D5" s="98">
        <v>70</v>
      </c>
      <c r="E5" s="100">
        <v>20</v>
      </c>
      <c r="F5" s="99">
        <f>D5*E5</f>
        <v>1400</v>
      </c>
    </row>
    <row r="6" spans="1:6">
      <c r="A6" s="56"/>
      <c r="B6" s="60"/>
      <c r="C6" s="50"/>
      <c r="D6" s="98"/>
      <c r="E6" s="100"/>
      <c r="F6" s="99"/>
    </row>
    <row r="7" spans="1:6">
      <c r="A7" s="56" t="s">
        <v>12</v>
      </c>
      <c r="B7" s="51" t="s">
        <v>64</v>
      </c>
      <c r="C7" s="50" t="s">
        <v>8</v>
      </c>
      <c r="D7" s="98">
        <v>7</v>
      </c>
      <c r="E7" s="100">
        <v>31.5</v>
      </c>
      <c r="F7" s="99">
        <f t="shared" ref="F7:F53" si="0">D7*E7</f>
        <v>220.5</v>
      </c>
    </row>
    <row r="8" spans="1:6">
      <c r="A8" s="56"/>
      <c r="B8" s="51"/>
      <c r="C8" s="50"/>
      <c r="D8" s="98"/>
      <c r="E8" s="100"/>
      <c r="F8" s="99"/>
    </row>
    <row r="9" spans="1:6">
      <c r="A9" s="56"/>
      <c r="B9" s="51" t="s">
        <v>65</v>
      </c>
      <c r="C9" s="50" t="s">
        <v>8</v>
      </c>
      <c r="D9" s="98">
        <v>2</v>
      </c>
      <c r="E9" s="100">
        <v>113.6</v>
      </c>
      <c r="F9" s="99">
        <f t="shared" si="0"/>
        <v>227.2</v>
      </c>
    </row>
    <row r="10" spans="1:6">
      <c r="A10" s="56"/>
      <c r="B10" s="51"/>
      <c r="C10" s="50"/>
      <c r="D10" s="98"/>
      <c r="E10" s="100"/>
      <c r="F10" s="99"/>
    </row>
    <row r="11" spans="1:6" ht="25.5">
      <c r="A11" s="56" t="s">
        <v>13</v>
      </c>
      <c r="B11" s="51" t="s">
        <v>147</v>
      </c>
      <c r="C11" s="50" t="s">
        <v>4</v>
      </c>
      <c r="D11" s="98">
        <v>176.3</v>
      </c>
      <c r="E11" s="100">
        <v>1.25</v>
      </c>
      <c r="F11" s="99">
        <f t="shared" si="0"/>
        <v>220.375</v>
      </c>
    </row>
    <row r="12" spans="1:6">
      <c r="A12" s="56"/>
      <c r="B12" s="51"/>
      <c r="C12" s="50"/>
      <c r="D12" s="98"/>
      <c r="E12" s="100"/>
      <c r="F12" s="99"/>
    </row>
    <row r="13" spans="1:6" ht="25.5">
      <c r="A13" s="56" t="s">
        <v>37</v>
      </c>
      <c r="B13" s="51" t="s">
        <v>148</v>
      </c>
      <c r="C13" s="50" t="s">
        <v>8</v>
      </c>
      <c r="D13" s="98">
        <v>6</v>
      </c>
      <c r="E13" s="100">
        <v>21</v>
      </c>
      <c r="F13" s="99">
        <f t="shared" si="0"/>
        <v>126</v>
      </c>
    </row>
    <row r="14" spans="1:6">
      <c r="A14" s="56"/>
      <c r="B14" s="51"/>
      <c r="C14" s="50"/>
      <c r="D14" s="98"/>
      <c r="E14" s="100"/>
      <c r="F14" s="99"/>
    </row>
    <row r="15" spans="1:6" ht="25.5">
      <c r="A15" s="56" t="s">
        <v>38</v>
      </c>
      <c r="B15" s="51" t="s">
        <v>149</v>
      </c>
      <c r="C15" s="50" t="s">
        <v>8</v>
      </c>
      <c r="D15" s="98">
        <v>8</v>
      </c>
      <c r="E15" s="100">
        <v>37</v>
      </c>
      <c r="F15" s="99">
        <f t="shared" si="0"/>
        <v>296</v>
      </c>
    </row>
    <row r="16" spans="1:6">
      <c r="A16" s="56"/>
      <c r="B16" s="51"/>
      <c r="C16" s="50"/>
      <c r="D16" s="98"/>
      <c r="E16" s="100"/>
      <c r="F16" s="99"/>
    </row>
    <row r="17" spans="1:6" ht="25.5">
      <c r="A17" s="56" t="s">
        <v>39</v>
      </c>
      <c r="B17" s="51" t="s">
        <v>150</v>
      </c>
      <c r="C17" s="50" t="s">
        <v>8</v>
      </c>
      <c r="D17" s="98">
        <v>6</v>
      </c>
      <c r="E17" s="100">
        <v>25</v>
      </c>
      <c r="F17" s="99">
        <f t="shared" si="0"/>
        <v>150</v>
      </c>
    </row>
    <row r="18" spans="1:6">
      <c r="A18" s="56"/>
      <c r="B18" s="51"/>
      <c r="C18" s="50"/>
      <c r="D18" s="98"/>
      <c r="E18" s="100"/>
      <c r="F18" s="99"/>
    </row>
    <row r="19" spans="1:6" ht="25.5">
      <c r="A19" s="56" t="s">
        <v>40</v>
      </c>
      <c r="B19" s="51" t="s">
        <v>151</v>
      </c>
      <c r="C19" s="50" t="s">
        <v>8</v>
      </c>
      <c r="D19" s="98">
        <v>4</v>
      </c>
      <c r="E19" s="100">
        <v>12</v>
      </c>
      <c r="F19" s="99">
        <f t="shared" si="0"/>
        <v>48</v>
      </c>
    </row>
    <row r="20" spans="1:6">
      <c r="A20" s="56"/>
      <c r="B20" s="51"/>
      <c r="C20" s="50"/>
      <c r="D20" s="98"/>
      <c r="E20" s="100"/>
      <c r="F20" s="99"/>
    </row>
    <row r="21" spans="1:6">
      <c r="A21" s="56" t="s">
        <v>41</v>
      </c>
      <c r="B21" s="51" t="s">
        <v>152</v>
      </c>
      <c r="C21" s="50" t="s">
        <v>8</v>
      </c>
      <c r="D21" s="98">
        <v>2</v>
      </c>
      <c r="E21" s="100">
        <v>46</v>
      </c>
      <c r="F21" s="99">
        <f t="shared" si="0"/>
        <v>92</v>
      </c>
    </row>
    <row r="22" spans="1:6">
      <c r="A22" s="56"/>
      <c r="B22" s="51"/>
      <c r="C22" s="50"/>
      <c r="D22" s="98"/>
      <c r="E22" s="100"/>
      <c r="F22" s="99"/>
    </row>
    <row r="23" spans="1:6">
      <c r="A23" s="56" t="s">
        <v>42</v>
      </c>
      <c r="B23" s="51" t="s">
        <v>66</v>
      </c>
      <c r="C23" s="50" t="s">
        <v>8</v>
      </c>
      <c r="D23" s="98">
        <v>15</v>
      </c>
      <c r="E23" s="100">
        <v>16</v>
      </c>
      <c r="F23" s="99">
        <f t="shared" si="0"/>
        <v>240</v>
      </c>
    </row>
    <row r="24" spans="1:6">
      <c r="A24" s="56"/>
      <c r="B24" s="51"/>
      <c r="C24" s="50"/>
      <c r="D24" s="98"/>
      <c r="E24" s="100"/>
      <c r="F24" s="99"/>
    </row>
    <row r="25" spans="1:6">
      <c r="A25" s="56" t="s">
        <v>43</v>
      </c>
      <c r="B25" s="51" t="s">
        <v>67</v>
      </c>
      <c r="C25" s="50" t="s">
        <v>8</v>
      </c>
      <c r="D25" s="98">
        <v>5</v>
      </c>
      <c r="E25" s="100">
        <v>35</v>
      </c>
      <c r="F25" s="99">
        <f t="shared" si="0"/>
        <v>175</v>
      </c>
    </row>
    <row r="26" spans="1:6">
      <c r="A26" s="56"/>
      <c r="B26" s="51"/>
      <c r="C26" s="50"/>
      <c r="D26" s="98"/>
      <c r="E26" s="100"/>
      <c r="F26" s="99"/>
    </row>
    <row r="27" spans="1:6">
      <c r="A27" s="56" t="s">
        <v>45</v>
      </c>
      <c r="B27" s="51" t="s">
        <v>68</v>
      </c>
      <c r="C27" s="50" t="s">
        <v>8</v>
      </c>
      <c r="D27" s="98">
        <v>5</v>
      </c>
      <c r="E27" s="100">
        <v>330</v>
      </c>
      <c r="F27" s="99">
        <f t="shared" si="0"/>
        <v>1650</v>
      </c>
    </row>
    <row r="28" spans="1:6">
      <c r="A28" s="56"/>
      <c r="B28" s="51"/>
      <c r="C28" s="50"/>
      <c r="D28" s="98"/>
      <c r="E28" s="100"/>
      <c r="F28" s="99"/>
    </row>
    <row r="29" spans="1:6">
      <c r="A29" s="56" t="s">
        <v>46</v>
      </c>
      <c r="B29" s="51" t="s">
        <v>153</v>
      </c>
      <c r="C29" s="50" t="s">
        <v>8</v>
      </c>
      <c r="D29" s="98">
        <v>2</v>
      </c>
      <c r="E29" s="100">
        <v>26</v>
      </c>
      <c r="F29" s="99">
        <f t="shared" si="0"/>
        <v>52</v>
      </c>
    </row>
    <row r="30" spans="1:6">
      <c r="A30" s="56"/>
      <c r="B30" s="51"/>
      <c r="C30" s="50"/>
      <c r="D30" s="98"/>
      <c r="E30" s="100"/>
      <c r="F30" s="99"/>
    </row>
    <row r="31" spans="1:6">
      <c r="A31" s="56" t="s">
        <v>47</v>
      </c>
      <c r="B31" s="51" t="s">
        <v>154</v>
      </c>
      <c r="C31" s="50" t="s">
        <v>8</v>
      </c>
      <c r="D31" s="98">
        <v>5</v>
      </c>
      <c r="E31" s="100">
        <v>21</v>
      </c>
      <c r="F31" s="99">
        <f t="shared" si="0"/>
        <v>105</v>
      </c>
    </row>
    <row r="32" spans="1:6">
      <c r="A32" s="56"/>
      <c r="B32" s="51"/>
      <c r="C32" s="50"/>
      <c r="D32" s="98"/>
      <c r="E32" s="100"/>
      <c r="F32" s="99"/>
    </row>
    <row r="33" spans="1:6">
      <c r="A33" s="56" t="s">
        <v>48</v>
      </c>
      <c r="B33" s="51" t="s">
        <v>155</v>
      </c>
      <c r="C33" s="50" t="s">
        <v>8</v>
      </c>
      <c r="D33" s="98">
        <v>6</v>
      </c>
      <c r="E33" s="100">
        <v>12</v>
      </c>
      <c r="F33" s="99">
        <f t="shared" si="0"/>
        <v>72</v>
      </c>
    </row>
    <row r="34" spans="1:6">
      <c r="A34" s="56"/>
      <c r="B34" s="51"/>
      <c r="C34" s="50"/>
      <c r="D34" s="98"/>
      <c r="E34" s="100"/>
      <c r="F34" s="99"/>
    </row>
    <row r="35" spans="1:6">
      <c r="A35" s="56" t="s">
        <v>49</v>
      </c>
      <c r="B35" s="51" t="s">
        <v>69</v>
      </c>
      <c r="C35" s="50" t="s">
        <v>8</v>
      </c>
      <c r="D35" s="98">
        <v>6</v>
      </c>
      <c r="E35" s="100">
        <v>12</v>
      </c>
      <c r="F35" s="99">
        <f t="shared" si="0"/>
        <v>72</v>
      </c>
    </row>
    <row r="36" spans="1:6">
      <c r="A36" s="56"/>
      <c r="B36" s="51"/>
      <c r="C36" s="50"/>
      <c r="D36" s="98"/>
      <c r="E36" s="100"/>
      <c r="F36" s="99"/>
    </row>
    <row r="37" spans="1:6" ht="76.5">
      <c r="A37" s="56" t="s">
        <v>50</v>
      </c>
      <c r="B37" s="51" t="s">
        <v>156</v>
      </c>
      <c r="C37" s="50" t="s">
        <v>10</v>
      </c>
      <c r="D37" s="98">
        <v>1</v>
      </c>
      <c r="E37" s="100">
        <v>8185</v>
      </c>
      <c r="F37" s="99">
        <f t="shared" si="0"/>
        <v>8185</v>
      </c>
    </row>
    <row r="38" spans="1:6">
      <c r="A38" s="56"/>
      <c r="B38" s="51"/>
      <c r="C38" s="50"/>
      <c r="D38" s="98"/>
      <c r="E38" s="100"/>
      <c r="F38" s="99"/>
    </row>
    <row r="39" spans="1:6" ht="114.75">
      <c r="A39" s="56" t="s">
        <v>51</v>
      </c>
      <c r="B39" s="51" t="s">
        <v>157</v>
      </c>
      <c r="C39" s="50"/>
      <c r="D39" s="98"/>
      <c r="E39" s="100"/>
      <c r="F39" s="99"/>
    </row>
    <row r="40" spans="1:6">
      <c r="A40" s="56"/>
      <c r="B40" s="51"/>
      <c r="C40" s="50"/>
      <c r="D40" s="98"/>
      <c r="E40" s="100"/>
      <c r="F40" s="99"/>
    </row>
    <row r="41" spans="1:6">
      <c r="A41" s="56"/>
      <c r="B41" s="51" t="s">
        <v>70</v>
      </c>
      <c r="C41" s="50" t="s">
        <v>8</v>
      </c>
      <c r="D41" s="98">
        <v>1</v>
      </c>
      <c r="E41" s="100">
        <v>4700</v>
      </c>
      <c r="F41" s="99">
        <f t="shared" si="0"/>
        <v>4700</v>
      </c>
    </row>
    <row r="42" spans="1:6">
      <c r="A42" s="56"/>
      <c r="B42" s="51"/>
      <c r="C42" s="50"/>
      <c r="D42" s="98"/>
      <c r="E42" s="100"/>
      <c r="F42" s="99"/>
    </row>
    <row r="43" spans="1:6">
      <c r="A43" s="56"/>
      <c r="B43" s="51" t="s">
        <v>71</v>
      </c>
      <c r="C43" s="50" t="s">
        <v>8</v>
      </c>
      <c r="D43" s="98">
        <v>1</v>
      </c>
      <c r="E43" s="100">
        <v>5000</v>
      </c>
      <c r="F43" s="99">
        <f t="shared" si="0"/>
        <v>5000</v>
      </c>
    </row>
    <row r="44" spans="1:6">
      <c r="A44" s="56"/>
      <c r="B44" s="51"/>
      <c r="C44" s="50"/>
      <c r="D44" s="98"/>
      <c r="E44" s="100"/>
      <c r="F44" s="99"/>
    </row>
    <row r="45" spans="1:6" ht="39" customHeight="1">
      <c r="A45" s="56" t="s">
        <v>52</v>
      </c>
      <c r="B45" s="51" t="s">
        <v>158</v>
      </c>
      <c r="C45" s="50" t="s">
        <v>8</v>
      </c>
      <c r="D45" s="98">
        <v>12</v>
      </c>
      <c r="E45" s="100">
        <v>1900</v>
      </c>
      <c r="F45" s="99">
        <f t="shared" si="0"/>
        <v>22800</v>
      </c>
    </row>
    <row r="46" spans="1:6">
      <c r="A46" s="56"/>
      <c r="B46" s="51"/>
      <c r="C46" s="50"/>
      <c r="D46" s="98"/>
      <c r="E46" s="100"/>
      <c r="F46" s="99"/>
    </row>
    <row r="47" spans="1:6" ht="51">
      <c r="A47" s="56" t="s">
        <v>53</v>
      </c>
      <c r="B47" s="51" t="s">
        <v>159</v>
      </c>
      <c r="C47" s="50" t="s">
        <v>6</v>
      </c>
      <c r="D47" s="98">
        <v>29.9</v>
      </c>
      <c r="E47" s="100">
        <v>160</v>
      </c>
      <c r="F47" s="99">
        <f t="shared" si="0"/>
        <v>4784</v>
      </c>
    </row>
    <row r="48" spans="1:6">
      <c r="A48" s="56"/>
      <c r="B48" s="51"/>
      <c r="C48" s="50"/>
      <c r="D48" s="98"/>
      <c r="E48" s="100"/>
      <c r="F48" s="99"/>
    </row>
    <row r="49" spans="1:6" ht="25.5">
      <c r="A49" s="56" t="s">
        <v>54</v>
      </c>
      <c r="B49" s="51" t="s">
        <v>160</v>
      </c>
      <c r="C49" s="50" t="s">
        <v>72</v>
      </c>
      <c r="D49" s="98">
        <v>1</v>
      </c>
      <c r="E49" s="100">
        <v>9897.85</v>
      </c>
      <c r="F49" s="99">
        <f t="shared" si="0"/>
        <v>9897.85</v>
      </c>
    </row>
    <row r="50" spans="1:6">
      <c r="A50" s="56"/>
      <c r="B50" s="51"/>
      <c r="C50" s="50"/>
      <c r="D50" s="98"/>
      <c r="E50" s="100"/>
      <c r="F50" s="99"/>
    </row>
    <row r="51" spans="1:6" ht="51" customHeight="1">
      <c r="A51" s="56" t="s">
        <v>55</v>
      </c>
      <c r="B51" s="51" t="s">
        <v>161</v>
      </c>
      <c r="C51" s="50" t="s">
        <v>10</v>
      </c>
      <c r="D51" s="98">
        <v>1</v>
      </c>
      <c r="E51" s="100">
        <v>5000</v>
      </c>
      <c r="F51" s="99">
        <f t="shared" si="0"/>
        <v>5000</v>
      </c>
    </row>
    <row r="52" spans="1:6">
      <c r="A52" s="56"/>
      <c r="B52" s="51"/>
      <c r="C52" s="50"/>
      <c r="D52" s="98"/>
      <c r="E52" s="100"/>
      <c r="F52" s="99"/>
    </row>
    <row r="53" spans="1:6" ht="25.5">
      <c r="A53" s="56" t="s">
        <v>56</v>
      </c>
      <c r="B53" s="51" t="s">
        <v>162</v>
      </c>
      <c r="C53" s="50" t="s">
        <v>8</v>
      </c>
      <c r="D53" s="98">
        <v>1</v>
      </c>
      <c r="E53" s="100">
        <v>500</v>
      </c>
      <c r="F53" s="99">
        <f t="shared" si="0"/>
        <v>500</v>
      </c>
    </row>
    <row r="54" spans="1:6" ht="14.25" customHeight="1">
      <c r="A54" s="66"/>
      <c r="B54" s="7"/>
      <c r="C54" s="62"/>
      <c r="D54" s="63"/>
      <c r="E54" s="64"/>
      <c r="F54" s="64"/>
    </row>
    <row r="55" spans="1:6" ht="9.75" customHeight="1">
      <c r="A55" s="56"/>
      <c r="B55" s="6"/>
      <c r="C55" s="57"/>
      <c r="D55" s="58"/>
      <c r="E55" s="59"/>
    </row>
    <row r="56" spans="1:6">
      <c r="C56" s="9" t="s">
        <v>14</v>
      </c>
      <c r="F56" s="65">
        <f>SUM(F4:F54)</f>
        <v>66012.924999999988</v>
      </c>
    </row>
    <row r="62" spans="1:6">
      <c r="B62"/>
    </row>
    <row r="66" ht="16.5" customHeight="1"/>
  </sheetData>
  <conditionalFormatting sqref="E3">
    <cfRule type="expression" dxfId="2" priority="2" stopIfTrue="1">
      <formula>AND(ISBLANK($D3))</formula>
    </cfRule>
    <cfRule type="expression" dxfId="1" priority="3" stopIfTrue="1">
      <formula>AND(ISBLANK(#REF!))</formula>
    </cfRule>
  </conditionalFormatting>
  <conditionalFormatting sqref="E2">
    <cfRule type="cellIs" dxfId="0" priority="1" stopIfTrue="1" operator="equal">
      <formula>#REF!</formula>
    </cfRule>
  </conditionalFormatting>
  <pageMargins left="0.98425196850393704" right="0.55118110236220474" top="0.74803149606299213" bottom="0.74803149606299213" header="0.31496062992125984" footer="0.31496062992125984"/>
  <pageSetup paperSize="9" orientation="portrait" r:id="rId1"/>
  <headerFooter alignWithMargins="0">
    <oddHeader>&amp;C&amp;F; &amp;A</oddHeader>
    <oddFooter>&amp;C&amp;14&amp;Y&amp;P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tabColor rgb="FFFFFF00"/>
  </sheetPr>
  <dimension ref="A1:H62"/>
  <sheetViews>
    <sheetView view="pageBreakPreview" zoomScaleNormal="100" zoomScaleSheetLayoutView="100" workbookViewId="0">
      <selection activeCell="B23" sqref="B23"/>
    </sheetView>
  </sheetViews>
  <sheetFormatPr defaultColWidth="9.140625" defaultRowHeight="12.75"/>
  <cols>
    <col min="1" max="1" width="5.85546875" style="215" customWidth="1"/>
    <col min="2" max="2" width="46.85546875" style="215" customWidth="1"/>
    <col min="3" max="3" width="6.140625" style="215" customWidth="1"/>
    <col min="4" max="4" width="9.140625" style="248" customWidth="1"/>
    <col min="5" max="5" width="8.5703125" style="248" customWidth="1"/>
    <col min="6" max="6" width="11.5703125" style="248" customWidth="1"/>
    <col min="7" max="16384" width="9.140625" style="215"/>
  </cols>
  <sheetData>
    <row r="1" spans="1:8" s="211" customFormat="1">
      <c r="A1" s="207" t="s">
        <v>16</v>
      </c>
      <c r="B1" s="208" t="s">
        <v>269</v>
      </c>
      <c r="C1" s="208"/>
      <c r="D1" s="209"/>
      <c r="E1" s="209"/>
      <c r="F1" s="210"/>
    </row>
    <row r="2" spans="1:8" ht="4.5" customHeight="1">
      <c r="A2" s="212"/>
      <c r="B2" s="212"/>
      <c r="C2" s="212"/>
      <c r="D2" s="213"/>
      <c r="E2" s="213"/>
      <c r="F2" s="213"/>
      <c r="G2" s="214"/>
      <c r="H2" s="214"/>
    </row>
    <row r="3" spans="1:8" ht="25.5">
      <c r="A3" s="216" t="s">
        <v>36</v>
      </c>
      <c r="B3" s="217" t="s">
        <v>0</v>
      </c>
      <c r="C3" s="218" t="s">
        <v>3</v>
      </c>
      <c r="D3" s="219" t="s">
        <v>1</v>
      </c>
      <c r="E3" s="220" t="s">
        <v>2</v>
      </c>
      <c r="F3" s="221" t="s">
        <v>163</v>
      </c>
      <c r="G3" s="214"/>
      <c r="H3" s="214"/>
    </row>
    <row r="4" spans="1:8" s="214" customFormat="1" hidden="1">
      <c r="A4" s="222"/>
      <c r="B4" s="440"/>
      <c r="C4" s="440"/>
      <c r="D4" s="440"/>
      <c r="E4" s="440"/>
      <c r="F4" s="440"/>
    </row>
    <row r="5" spans="1:8" s="214" customFormat="1">
      <c r="A5" s="222"/>
      <c r="B5" s="223"/>
      <c r="C5" s="224"/>
      <c r="D5" s="225"/>
      <c r="E5" s="226"/>
      <c r="F5" s="226"/>
    </row>
    <row r="6" spans="1:8" s="214" customFormat="1" ht="38.25">
      <c r="A6" s="227">
        <f>MAX($A$5:A5)+1</f>
        <v>1</v>
      </c>
      <c r="B6" s="228" t="s">
        <v>293</v>
      </c>
      <c r="C6" s="229" t="s">
        <v>10</v>
      </c>
      <c r="D6" s="230">
        <v>1</v>
      </c>
      <c r="E6" s="226"/>
      <c r="F6" s="231">
        <f>D6*E6</f>
        <v>0</v>
      </c>
    </row>
    <row r="7" spans="1:8" s="214" customFormat="1">
      <c r="A7" s="232"/>
      <c r="B7" s="228"/>
      <c r="C7" s="229"/>
      <c r="D7" s="230"/>
      <c r="E7" s="226"/>
      <c r="F7" s="231"/>
    </row>
    <row r="8" spans="1:8" s="214" customFormat="1" ht="38.25">
      <c r="A8" s="227">
        <f>MAX($A$5:A7)+1</f>
        <v>2</v>
      </c>
      <c r="B8" s="233" t="s">
        <v>295</v>
      </c>
      <c r="C8" s="229" t="s">
        <v>10</v>
      </c>
      <c r="D8" s="230">
        <v>1</v>
      </c>
      <c r="E8" s="226"/>
      <c r="F8" s="231">
        <f>D8*E8</f>
        <v>0</v>
      </c>
    </row>
    <row r="9" spans="1:8" s="214" customFormat="1">
      <c r="A9" s="227"/>
      <c r="B9" s="233"/>
      <c r="C9" s="229"/>
      <c r="D9" s="230"/>
      <c r="E9" s="226"/>
      <c r="F9" s="231"/>
    </row>
    <row r="10" spans="1:8" s="214" customFormat="1" ht="63.75">
      <c r="A10" s="227">
        <f>MAX($A$5:A9)+1</f>
        <v>3</v>
      </c>
      <c r="B10" s="234" t="s">
        <v>297</v>
      </c>
      <c r="C10" s="229" t="s">
        <v>4</v>
      </c>
      <c r="D10" s="230">
        <v>150</v>
      </c>
      <c r="E10" s="226"/>
      <c r="F10" s="231">
        <f>D10*E10</f>
        <v>0</v>
      </c>
    </row>
    <row r="11" spans="1:8" s="214" customFormat="1">
      <c r="A11" s="227"/>
      <c r="B11" s="233"/>
      <c r="C11" s="229"/>
      <c r="D11" s="230"/>
      <c r="E11" s="226"/>
      <c r="F11" s="231"/>
    </row>
    <row r="12" spans="1:8" s="214" customFormat="1" ht="51" customHeight="1">
      <c r="A12" s="227">
        <f>MAX($A$5:A11)+1</f>
        <v>4</v>
      </c>
      <c r="B12" s="234" t="s">
        <v>298</v>
      </c>
      <c r="C12" s="249" t="s">
        <v>5</v>
      </c>
      <c r="D12" s="250">
        <f>(23.75*6.8*0.25-5*3.8*0.25*6+124*0.25+(23.75-7.77-3.7*3-5)*0.25*(6.75+3.8+2.8)+470*0.2+41.6*0.6*0.8+13.8*5*0.3+1.5*1.5*0.5)*1.15-0.01+5</f>
        <v>209.99762499999997</v>
      </c>
      <c r="E12" s="251"/>
      <c r="F12" s="252">
        <f>+D12*E12</f>
        <v>0</v>
      </c>
    </row>
    <row r="13" spans="1:8" s="214" customFormat="1">
      <c r="A13" s="227"/>
      <c r="B13" s="233"/>
      <c r="C13" s="229"/>
      <c r="D13" s="230"/>
      <c r="E13" s="226"/>
      <c r="F13" s="231"/>
    </row>
    <row r="14" spans="1:8" s="214" customFormat="1" ht="50.25" customHeight="1">
      <c r="A14" s="227">
        <f>MAX($A$5:A13)+1</f>
        <v>5</v>
      </c>
      <c r="B14" s="234" t="s">
        <v>299</v>
      </c>
      <c r="C14" s="249" t="s">
        <v>5</v>
      </c>
      <c r="D14" s="250">
        <f>0.5*2.17*12.1+1.2*0.5*3.5+1.77+3</f>
        <v>19.9985</v>
      </c>
      <c r="E14" s="251"/>
      <c r="F14" s="252">
        <f>+D14*E14</f>
        <v>0</v>
      </c>
    </row>
    <row r="15" spans="1:8" s="214" customFormat="1">
      <c r="A15" s="227"/>
      <c r="B15" s="233"/>
      <c r="C15" s="229"/>
      <c r="D15" s="230"/>
      <c r="E15" s="226"/>
      <c r="F15" s="231"/>
    </row>
    <row r="16" spans="1:8" s="214" customFormat="1" ht="38.25">
      <c r="A16" s="227">
        <f>MAX($A$5:A15)+1</f>
        <v>6</v>
      </c>
      <c r="B16" s="234" t="s">
        <v>300</v>
      </c>
      <c r="C16" s="249" t="s">
        <v>5</v>
      </c>
      <c r="D16" s="250">
        <f>(2.1+2.38+0.76)*0.3*3+0.28</f>
        <v>4.9960000000000004</v>
      </c>
      <c r="E16" s="251"/>
      <c r="F16" s="252">
        <f>+D16*E16</f>
        <v>0</v>
      </c>
    </row>
    <row r="17" spans="1:6" s="214" customFormat="1">
      <c r="A17" s="227"/>
      <c r="B17" s="234"/>
      <c r="C17" s="249"/>
      <c r="D17" s="250"/>
      <c r="E17" s="251"/>
      <c r="F17" s="252"/>
    </row>
    <row r="18" spans="1:6" s="214" customFormat="1" ht="51">
      <c r="A18" s="227">
        <f>MAX($A$5:A17)+1</f>
        <v>7</v>
      </c>
      <c r="B18" s="234" t="s">
        <v>301</v>
      </c>
      <c r="C18" s="249" t="s">
        <v>5</v>
      </c>
      <c r="D18" s="250">
        <f>500*0.1</f>
        <v>50</v>
      </c>
      <c r="E18" s="251"/>
      <c r="F18" s="252">
        <f>+D18*E18</f>
        <v>0</v>
      </c>
    </row>
    <row r="19" spans="1:6" s="214" customFormat="1">
      <c r="A19" s="227"/>
      <c r="B19" s="234"/>
      <c r="C19" s="249"/>
      <c r="D19" s="250"/>
      <c r="E19" s="251"/>
      <c r="F19" s="252"/>
    </row>
    <row r="20" spans="1:6" s="214" customFormat="1" ht="51">
      <c r="A20" s="227">
        <f>MAX($A$5:A19)+1</f>
        <v>8</v>
      </c>
      <c r="B20" s="234" t="s">
        <v>302</v>
      </c>
      <c r="C20" s="249" t="s">
        <v>4</v>
      </c>
      <c r="D20" s="250">
        <v>500</v>
      </c>
      <c r="E20" s="251"/>
      <c r="F20" s="252">
        <f>+D20*E20</f>
        <v>0</v>
      </c>
    </row>
    <row r="21" spans="1:6" s="214" customFormat="1">
      <c r="A21" s="227"/>
      <c r="B21" s="234"/>
      <c r="C21" s="249"/>
      <c r="D21" s="250"/>
      <c r="E21" s="251"/>
      <c r="F21" s="252"/>
    </row>
    <row r="22" spans="1:6" s="214" customFormat="1" ht="51">
      <c r="A22" s="227">
        <f>MAX($A$5:A21)+1</f>
        <v>9</v>
      </c>
      <c r="B22" s="234" t="s">
        <v>306</v>
      </c>
      <c r="C22" s="249" t="s">
        <v>4</v>
      </c>
      <c r="D22" s="250">
        <v>500</v>
      </c>
      <c r="E22" s="251"/>
      <c r="F22" s="252">
        <f>+D22*E22</f>
        <v>0</v>
      </c>
    </row>
    <row r="23" spans="1:6" s="214" customFormat="1">
      <c r="A23" s="227"/>
      <c r="B23" s="234"/>
      <c r="C23" s="249"/>
      <c r="D23" s="250"/>
      <c r="E23" s="251"/>
      <c r="F23" s="252"/>
    </row>
    <row r="24" spans="1:6" s="214" customFormat="1" ht="25.5">
      <c r="A24" s="227">
        <f>MAX($A$5:A23)+1</f>
        <v>10</v>
      </c>
      <c r="B24" s="234" t="s">
        <v>303</v>
      </c>
      <c r="C24" s="249" t="s">
        <v>4</v>
      </c>
      <c r="D24" s="250">
        <v>300</v>
      </c>
      <c r="E24" s="251"/>
      <c r="F24" s="252">
        <f>+D24*E24</f>
        <v>0</v>
      </c>
    </row>
    <row r="25" spans="1:6" s="214" customFormat="1">
      <c r="A25" s="227"/>
      <c r="B25" s="234"/>
      <c r="C25" s="249"/>
      <c r="D25" s="250"/>
      <c r="E25" s="251"/>
      <c r="F25" s="252"/>
    </row>
    <row r="26" spans="1:6" s="214" customFormat="1" ht="25.5">
      <c r="A26" s="227">
        <f>MAX($A$5:A25)+1</f>
        <v>11</v>
      </c>
      <c r="B26" s="234" t="s">
        <v>304</v>
      </c>
      <c r="C26" s="249" t="s">
        <v>4</v>
      </c>
      <c r="D26" s="250">
        <f>15.4+15.4+7+30.2-3</f>
        <v>65</v>
      </c>
      <c r="E26" s="251"/>
      <c r="F26" s="252">
        <f t="shared" ref="F26:F28" si="0">+D26*E26</f>
        <v>0</v>
      </c>
    </row>
    <row r="27" spans="1:6" s="214" customFormat="1">
      <c r="A27" s="227"/>
      <c r="B27" s="234"/>
      <c r="C27" s="249"/>
      <c r="D27" s="250"/>
      <c r="E27" s="251"/>
      <c r="F27" s="252"/>
    </row>
    <row r="28" spans="1:6" s="214" customFormat="1" ht="38.25">
      <c r="A28" s="227">
        <f>MAX($A$5:A27)+1</f>
        <v>12</v>
      </c>
      <c r="B28" s="234" t="s">
        <v>305</v>
      </c>
      <c r="C28" s="249" t="s">
        <v>4</v>
      </c>
      <c r="D28" s="250">
        <f>95+23+70+12</f>
        <v>200</v>
      </c>
      <c r="E28" s="251"/>
      <c r="F28" s="252">
        <f t="shared" si="0"/>
        <v>0</v>
      </c>
    </row>
    <row r="29" spans="1:6" s="214" customFormat="1">
      <c r="A29" s="227"/>
      <c r="B29" s="234"/>
      <c r="C29" s="249"/>
      <c r="D29" s="250"/>
      <c r="E29" s="251"/>
      <c r="F29" s="252"/>
    </row>
    <row r="30" spans="1:6" s="214" customFormat="1" ht="51">
      <c r="A30" s="227">
        <f>MAX($A$5:A29)+1</f>
        <v>13</v>
      </c>
      <c r="B30" s="234" t="s">
        <v>307</v>
      </c>
      <c r="C30" s="249" t="s">
        <v>7</v>
      </c>
      <c r="D30" s="250">
        <v>2000</v>
      </c>
      <c r="E30" s="251"/>
      <c r="F30" s="252">
        <f t="shared" ref="F30" si="1">+D30*E30</f>
        <v>0</v>
      </c>
    </row>
    <row r="31" spans="1:6" s="214" customFormat="1">
      <c r="A31" s="227"/>
      <c r="B31" s="234"/>
      <c r="C31" s="249"/>
      <c r="D31" s="250"/>
      <c r="E31" s="251"/>
      <c r="F31" s="252"/>
    </row>
    <row r="32" spans="1:6" s="214" customFormat="1" ht="50.25" customHeight="1">
      <c r="A32" s="227">
        <f>MAX($A$5:A31)+1</f>
        <v>14</v>
      </c>
      <c r="B32" s="234" t="s">
        <v>308</v>
      </c>
      <c r="C32" s="249" t="s">
        <v>10</v>
      </c>
      <c r="D32" s="250">
        <f>7+6</f>
        <v>13</v>
      </c>
      <c r="E32" s="251"/>
      <c r="F32" s="252">
        <f>+D32*E32</f>
        <v>0</v>
      </c>
    </row>
    <row r="33" spans="1:6" s="214" customFormat="1">
      <c r="A33" s="227"/>
      <c r="B33" s="234"/>
      <c r="C33" s="249"/>
      <c r="D33" s="250"/>
      <c r="E33" s="251"/>
      <c r="F33" s="252"/>
    </row>
    <row r="34" spans="1:6" s="214" customFormat="1" ht="50.25" customHeight="1">
      <c r="A34" s="227">
        <f>MAX($A$5:A33)+1</f>
        <v>15</v>
      </c>
      <c r="B34" s="234" t="s">
        <v>309</v>
      </c>
      <c r="C34" s="249" t="s">
        <v>10</v>
      </c>
      <c r="D34" s="250">
        <f>6+2+1</f>
        <v>9</v>
      </c>
      <c r="E34" s="251"/>
      <c r="F34" s="252">
        <f>+D34*E34</f>
        <v>0</v>
      </c>
    </row>
    <row r="35" spans="1:6" s="214" customFormat="1">
      <c r="A35" s="227"/>
      <c r="B35" s="234"/>
      <c r="C35" s="249"/>
      <c r="D35" s="250"/>
      <c r="E35" s="251"/>
      <c r="F35" s="252"/>
    </row>
    <row r="36" spans="1:6" s="214" customFormat="1" ht="50.25" customHeight="1">
      <c r="A36" s="227">
        <f>MAX($A$5:A35)+1</f>
        <v>16</v>
      </c>
      <c r="B36" s="234" t="s">
        <v>310</v>
      </c>
      <c r="C36" s="249" t="s">
        <v>10</v>
      </c>
      <c r="D36" s="250">
        <f>6+1+1</f>
        <v>8</v>
      </c>
      <c r="E36" s="251"/>
      <c r="F36" s="252">
        <f>+D36*E36</f>
        <v>0</v>
      </c>
    </row>
    <row r="37" spans="1:6" s="214" customFormat="1">
      <c r="A37" s="227"/>
      <c r="B37" s="234"/>
      <c r="C37" s="249"/>
      <c r="D37" s="250"/>
      <c r="E37" s="251"/>
      <c r="F37" s="252"/>
    </row>
    <row r="38" spans="1:6" s="214" customFormat="1" ht="50.25" customHeight="1">
      <c r="A38" s="227">
        <f>MAX($A$5:A37)+1</f>
        <v>17</v>
      </c>
      <c r="B38" s="234" t="s">
        <v>311</v>
      </c>
      <c r="C38" s="249" t="s">
        <v>10</v>
      </c>
      <c r="D38" s="250">
        <v>1</v>
      </c>
      <c r="E38" s="251"/>
      <c r="F38" s="252">
        <f>+D38*E38</f>
        <v>0</v>
      </c>
    </row>
    <row r="39" spans="1:6" s="214" customFormat="1">
      <c r="A39" s="227"/>
      <c r="B39" s="234"/>
      <c r="C39" s="249"/>
      <c r="D39" s="250"/>
      <c r="E39" s="251"/>
      <c r="F39" s="252"/>
    </row>
    <row r="40" spans="1:6" s="214" customFormat="1" ht="50.25" customHeight="1">
      <c r="A40" s="227">
        <f>MAX($A$5:A39)+1</f>
        <v>18</v>
      </c>
      <c r="B40" s="234" t="s">
        <v>312</v>
      </c>
      <c r="C40" s="249" t="s">
        <v>10</v>
      </c>
      <c r="D40" s="250">
        <v>2</v>
      </c>
      <c r="E40" s="251"/>
      <c r="F40" s="252">
        <f>+D40*E40</f>
        <v>0</v>
      </c>
    </row>
    <row r="41" spans="1:6" s="214" customFormat="1">
      <c r="A41" s="227"/>
      <c r="B41" s="234"/>
      <c r="C41" s="249"/>
      <c r="D41" s="250"/>
      <c r="E41" s="251"/>
      <c r="F41" s="252"/>
    </row>
    <row r="42" spans="1:6" s="214" customFormat="1" ht="50.25" customHeight="1">
      <c r="A42" s="227">
        <f>MAX($A$5:A40)+1</f>
        <v>19</v>
      </c>
      <c r="B42" s="234" t="s">
        <v>313</v>
      </c>
      <c r="C42" s="249" t="s">
        <v>10</v>
      </c>
      <c r="D42" s="250">
        <v>12</v>
      </c>
      <c r="E42" s="251"/>
      <c r="F42" s="252">
        <f>+D42*E42</f>
        <v>0</v>
      </c>
    </row>
    <row r="43" spans="1:6" s="214" customFormat="1">
      <c r="A43" s="227"/>
      <c r="B43" s="234"/>
      <c r="C43" s="249"/>
      <c r="D43" s="250"/>
      <c r="E43" s="251"/>
      <c r="F43" s="252"/>
    </row>
    <row r="44" spans="1:6" s="214" customFormat="1" ht="50.25" customHeight="1">
      <c r="A44" s="227">
        <f>MAX($A$5:A42)+1</f>
        <v>20</v>
      </c>
      <c r="B44" s="234" t="s">
        <v>314</v>
      </c>
      <c r="C44" s="249" t="s">
        <v>10</v>
      </c>
      <c r="D44" s="250">
        <f>3+1</f>
        <v>4</v>
      </c>
      <c r="E44" s="251"/>
      <c r="F44" s="252">
        <f>+D44*E44</f>
        <v>0</v>
      </c>
    </row>
    <row r="45" spans="1:6" s="214" customFormat="1">
      <c r="A45" s="227"/>
      <c r="B45" s="234"/>
      <c r="C45" s="249"/>
      <c r="D45" s="250"/>
      <c r="E45" s="251"/>
      <c r="F45" s="252"/>
    </row>
    <row r="46" spans="1:6" s="214" customFormat="1" ht="50.25" customHeight="1">
      <c r="A46" s="227">
        <f>MAX($A$5:A44)+1</f>
        <v>21</v>
      </c>
      <c r="B46" s="234" t="s">
        <v>319</v>
      </c>
      <c r="C46" s="249" t="s">
        <v>7</v>
      </c>
      <c r="D46" s="250">
        <v>750</v>
      </c>
      <c r="E46" s="251"/>
      <c r="F46" s="252">
        <f>+D46*E46</f>
        <v>0</v>
      </c>
    </row>
    <row r="47" spans="1:6" s="214" customFormat="1">
      <c r="A47" s="227"/>
      <c r="B47" s="234"/>
      <c r="C47" s="249"/>
      <c r="D47" s="250"/>
      <c r="E47" s="251"/>
      <c r="F47" s="252"/>
    </row>
    <row r="48" spans="1:6" s="214" customFormat="1" ht="50.25" customHeight="1">
      <c r="A48" s="227">
        <f>MAX($A$5:A46)+1</f>
        <v>22</v>
      </c>
      <c r="B48" s="234" t="s">
        <v>320</v>
      </c>
      <c r="C48" s="249" t="s">
        <v>4</v>
      </c>
      <c r="D48" s="250">
        <v>41</v>
      </c>
      <c r="E48" s="251"/>
      <c r="F48" s="252">
        <f>+D48*E48</f>
        <v>0</v>
      </c>
    </row>
    <row r="49" spans="1:6" s="214" customFormat="1">
      <c r="A49" s="227"/>
      <c r="B49" s="234"/>
      <c r="C49" s="249"/>
      <c r="D49" s="250"/>
      <c r="E49" s="251"/>
      <c r="F49" s="252"/>
    </row>
    <row r="50" spans="1:6" s="214" customFormat="1" ht="51">
      <c r="A50" s="227">
        <f>MAX($A$5:A48)+1</f>
        <v>23</v>
      </c>
      <c r="B50" s="234" t="s">
        <v>318</v>
      </c>
      <c r="C50" s="249" t="s">
        <v>315</v>
      </c>
      <c r="D50" s="250">
        <v>1</v>
      </c>
      <c r="E50" s="251"/>
      <c r="F50" s="252">
        <f t="shared" ref="F50" si="2">+D50*E50</f>
        <v>0</v>
      </c>
    </row>
    <row r="51" spans="1:6" s="214" customFormat="1">
      <c r="A51" s="227"/>
      <c r="B51" s="234"/>
      <c r="C51" s="249"/>
      <c r="D51" s="250"/>
      <c r="E51" s="251"/>
      <c r="F51" s="252"/>
    </row>
    <row r="52" spans="1:6" s="214" customFormat="1" ht="38.25">
      <c r="A52" s="227">
        <f>MAX($A$5:A50)+1</f>
        <v>24</v>
      </c>
      <c r="B52" s="234" t="s">
        <v>316</v>
      </c>
      <c r="C52" s="249" t="s">
        <v>315</v>
      </c>
      <c r="D52" s="250">
        <v>1</v>
      </c>
      <c r="E52" s="251"/>
      <c r="F52" s="252">
        <f t="shared" ref="F52:F54" si="3">+D52*E52</f>
        <v>0</v>
      </c>
    </row>
    <row r="53" spans="1:6" s="214" customFormat="1">
      <c r="A53" s="227"/>
      <c r="B53" s="234"/>
      <c r="C53" s="249"/>
      <c r="D53" s="250"/>
      <c r="E53" s="251"/>
      <c r="F53" s="252"/>
    </row>
    <row r="54" spans="1:6" s="214" customFormat="1" ht="38.25">
      <c r="A54" s="227">
        <f>MAX($A$5:A52)+1</f>
        <v>25</v>
      </c>
      <c r="B54" s="234" t="s">
        <v>317</v>
      </c>
      <c r="C54" s="249" t="s">
        <v>315</v>
      </c>
      <c r="D54" s="250">
        <v>1</v>
      </c>
      <c r="E54" s="251"/>
      <c r="F54" s="252">
        <f t="shared" si="3"/>
        <v>0</v>
      </c>
    </row>
    <row r="55" spans="1:6" s="214" customFormat="1">
      <c r="A55" s="227"/>
      <c r="B55" s="234"/>
      <c r="C55" s="249"/>
      <c r="D55" s="250"/>
      <c r="E55" s="251"/>
      <c r="F55" s="252"/>
    </row>
    <row r="56" spans="1:6" s="214" customFormat="1" ht="25.5">
      <c r="A56" s="227">
        <f>MAX($A$5:A54)+1</f>
        <v>26</v>
      </c>
      <c r="B56" s="234" t="s">
        <v>322</v>
      </c>
      <c r="C56" s="249" t="s">
        <v>321</v>
      </c>
      <c r="D56" s="250">
        <f>D12*2.4+D14*0.9+D16*0.9+0.01</f>
        <v>526.49934999999994</v>
      </c>
      <c r="E56" s="251"/>
      <c r="F56" s="252">
        <f t="shared" ref="F56" si="4">+D56*E56</f>
        <v>0</v>
      </c>
    </row>
    <row r="57" spans="1:6" s="214" customFormat="1" ht="13.5" customHeight="1">
      <c r="A57" s="222"/>
      <c r="B57" s="235"/>
      <c r="C57" s="224"/>
      <c r="D57" s="236"/>
      <c r="E57" s="226"/>
      <c r="F57" s="237"/>
    </row>
    <row r="58" spans="1:6" s="214" customFormat="1">
      <c r="A58" s="238"/>
      <c r="B58" s="239"/>
      <c r="C58" s="240"/>
      <c r="D58" s="241"/>
      <c r="E58" s="213"/>
      <c r="F58" s="242"/>
    </row>
    <row r="59" spans="1:6" s="214" customFormat="1">
      <c r="A59" s="222"/>
      <c r="B59" s="243" t="s">
        <v>296</v>
      </c>
      <c r="D59" s="244"/>
      <c r="E59" s="245"/>
      <c r="F59" s="246">
        <f>SUM(F6:F56)</f>
        <v>0</v>
      </c>
    </row>
    <row r="61" spans="1:6">
      <c r="B61" s="247"/>
    </row>
    <row r="62" spans="1:6">
      <c r="B62" s="247"/>
    </row>
  </sheetData>
  <sheetProtection algorithmName="SHA-512" hashValue="202rKiU0hAT4nktZJIhuNlscx1Q3hIq2tm5CTUM48L+66W6kfnDV8VwwHYNX1RKeraliISFdLew4JZ8Jq1gpwQ==" saltValue="wPiTzTdL5gIZFWhA5m+EZA==" spinCount="100000" sheet="1" objects="1" scenarios="1"/>
  <mergeCells count="1">
    <mergeCell ref="B4:F4"/>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6">
    <tabColor rgb="FFFFFF00"/>
  </sheetPr>
  <dimension ref="A1:F17"/>
  <sheetViews>
    <sheetView view="pageBreakPreview" zoomScaleNormal="100" zoomScaleSheetLayoutView="100" workbookViewId="0">
      <selection activeCell="B23" sqref="B23"/>
    </sheetView>
  </sheetViews>
  <sheetFormatPr defaultColWidth="9.140625" defaultRowHeight="12.75"/>
  <cols>
    <col min="1" max="1" width="5.28515625" style="214" customWidth="1"/>
    <col min="2" max="2" width="46.85546875" style="214" customWidth="1"/>
    <col min="3" max="3" width="6.140625" style="214" customWidth="1"/>
    <col min="4" max="4" width="8.85546875" style="267" customWidth="1"/>
    <col min="5" max="5" width="9.140625" style="267"/>
    <col min="6" max="6" width="11.5703125" style="267" customWidth="1"/>
    <col min="7" max="16384" width="9.140625" style="214"/>
  </cols>
  <sheetData>
    <row r="1" spans="1:6">
      <c r="A1" s="207" t="s">
        <v>17</v>
      </c>
      <c r="B1" s="208" t="s">
        <v>196</v>
      </c>
      <c r="C1" s="253"/>
      <c r="D1" s="254"/>
      <c r="E1" s="254"/>
      <c r="F1" s="255"/>
    </row>
    <row r="2" spans="1:6" ht="4.5" customHeight="1">
      <c r="A2" s="258"/>
      <c r="B2" s="258"/>
      <c r="C2" s="212"/>
      <c r="D2" s="213"/>
      <c r="E2" s="213"/>
      <c r="F2" s="213"/>
    </row>
    <row r="3" spans="1:6" ht="25.5">
      <c r="A3" s="216" t="s">
        <v>36</v>
      </c>
      <c r="B3" s="217" t="s">
        <v>0</v>
      </c>
      <c r="C3" s="218" t="s">
        <v>3</v>
      </c>
      <c r="D3" s="219" t="s">
        <v>1</v>
      </c>
      <c r="E3" s="220" t="s">
        <v>2</v>
      </c>
      <c r="F3" s="221" t="s">
        <v>163</v>
      </c>
    </row>
    <row r="4" spans="1:6">
      <c r="A4" s="222"/>
      <c r="B4" s="285"/>
      <c r="C4" s="339"/>
      <c r="D4" s="244"/>
      <c r="E4" s="244"/>
      <c r="F4" s="244"/>
    </row>
    <row r="5" spans="1:6" ht="54.75" customHeight="1">
      <c r="A5" s="222"/>
      <c r="B5" s="441" t="s">
        <v>751</v>
      </c>
      <c r="C5" s="441"/>
      <c r="D5" s="441"/>
      <c r="E5" s="441"/>
      <c r="F5" s="441"/>
    </row>
    <row r="6" spans="1:6">
      <c r="A6" s="222"/>
      <c r="B6" s="285"/>
      <c r="C6" s="339"/>
      <c r="D6" s="244"/>
      <c r="E6" s="244"/>
      <c r="F6" s="244"/>
    </row>
    <row r="7" spans="1:6" ht="51">
      <c r="A7" s="227" t="s">
        <v>11</v>
      </c>
      <c r="B7" s="326" t="s">
        <v>272</v>
      </c>
      <c r="C7" s="320" t="s">
        <v>204</v>
      </c>
      <c r="D7" s="230">
        <f>3.2+3.7+74.3+4+1.75+80.49+28.24+12+2.32+65+20</f>
        <v>295</v>
      </c>
      <c r="E7" s="344"/>
      <c r="F7" s="231">
        <f>E7*D7</f>
        <v>0</v>
      </c>
    </row>
    <row r="8" spans="1:6">
      <c r="A8" s="227"/>
      <c r="B8" s="228"/>
      <c r="C8" s="229"/>
      <c r="D8" s="230"/>
      <c r="E8" s="225"/>
      <c r="F8" s="231"/>
    </row>
    <row r="9" spans="1:6" ht="25.5">
      <c r="A9" s="227" t="s">
        <v>12</v>
      </c>
      <c r="B9" s="228" t="s">
        <v>273</v>
      </c>
      <c r="C9" s="229" t="s">
        <v>5</v>
      </c>
      <c r="D9" s="230">
        <f>2340*0.4+4</f>
        <v>940</v>
      </c>
      <c r="E9" s="225"/>
      <c r="F9" s="231">
        <f>D9*E9</f>
        <v>0</v>
      </c>
    </row>
    <row r="10" spans="1:6">
      <c r="A10" s="232"/>
      <c r="B10" s="228"/>
      <c r="C10" s="229"/>
      <c r="D10" s="230"/>
      <c r="E10" s="225"/>
      <c r="F10" s="231"/>
    </row>
    <row r="11" spans="1:6" ht="25.5">
      <c r="A11" s="227" t="s">
        <v>13</v>
      </c>
      <c r="B11" s="228" t="s">
        <v>752</v>
      </c>
      <c r="C11" s="229" t="s">
        <v>5</v>
      </c>
      <c r="D11" s="230">
        <f>105*1*3.7+11.5+70</f>
        <v>470</v>
      </c>
      <c r="E11" s="225"/>
      <c r="F11" s="231">
        <f>D11*E11</f>
        <v>0</v>
      </c>
    </row>
    <row r="12" spans="1:6">
      <c r="A12" s="232"/>
      <c r="B12" s="326"/>
      <c r="C12" s="418"/>
      <c r="D12" s="346"/>
      <c r="E12" s="347"/>
      <c r="F12" s="419"/>
    </row>
    <row r="13" spans="1:6">
      <c r="A13" s="238"/>
      <c r="B13" s="239"/>
      <c r="C13" s="306"/>
      <c r="D13" s="225"/>
      <c r="F13" s="278"/>
    </row>
    <row r="14" spans="1:6">
      <c r="A14" s="222"/>
      <c r="B14" s="243" t="s">
        <v>213</v>
      </c>
      <c r="D14" s="244"/>
      <c r="E14" s="245"/>
      <c r="F14" s="246">
        <f>SUM(F7:F11)</f>
        <v>0</v>
      </c>
    </row>
    <row r="16" spans="1:6">
      <c r="B16" s="362"/>
    </row>
    <row r="17" spans="2:2">
      <c r="B17" s="314"/>
    </row>
  </sheetData>
  <sheetProtection algorithmName="SHA-512" hashValue="ySbRbnWmx0W19itJpVtMGWmR738bi/i4t6SR2NbOkukcRSnJFELAAJ352GBg9NfBVWXrVh78prMmQzWYdaTKkw==" saltValue="dwC++uu72BItPSIKewM0R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7">
    <tabColor rgb="FFFFFF00"/>
  </sheetPr>
  <dimension ref="A1:P90"/>
  <sheetViews>
    <sheetView view="pageBreakPreview" topLeftCell="A76" zoomScaleNormal="100" zoomScaleSheetLayoutView="100" workbookViewId="0">
      <selection activeCell="B23" sqref="B23"/>
    </sheetView>
  </sheetViews>
  <sheetFormatPr defaultColWidth="9.140625" defaultRowHeight="12.75"/>
  <cols>
    <col min="1" max="1" width="5" style="215" customWidth="1"/>
    <col min="2" max="2" width="46.85546875" style="215" customWidth="1"/>
    <col min="3" max="3" width="6.140625" style="215" customWidth="1"/>
    <col min="4" max="4" width="9.140625" style="267" customWidth="1"/>
    <col min="5" max="5" width="9.140625" style="248"/>
    <col min="6" max="6" width="11.5703125" style="248" customWidth="1"/>
    <col min="7" max="7" width="9.42578125" style="215" customWidth="1"/>
    <col min="8" max="8" width="11.5703125" style="215" customWidth="1"/>
    <col min="9" max="9" width="10.28515625" style="215" customWidth="1"/>
    <col min="10" max="10" width="10.42578125" style="215" customWidth="1"/>
    <col min="11" max="11" width="10.7109375" style="215" customWidth="1"/>
    <col min="12" max="12" width="11.28515625" style="215" customWidth="1"/>
    <col min="13" max="13" width="7.7109375" style="215" customWidth="1"/>
    <col min="14" max="14" width="12.85546875" style="264" bestFit="1" customWidth="1"/>
    <col min="15" max="15" width="11" style="215" bestFit="1" customWidth="1"/>
    <col min="16" max="16384" width="9.140625" style="215"/>
  </cols>
  <sheetData>
    <row r="1" spans="1:16" s="214" customFormat="1">
      <c r="A1" s="207" t="s">
        <v>18</v>
      </c>
      <c r="B1" s="208" t="s">
        <v>197</v>
      </c>
      <c r="C1" s="253"/>
      <c r="D1" s="254"/>
      <c r="E1" s="254"/>
      <c r="F1" s="255"/>
      <c r="N1" s="256"/>
      <c r="P1" s="257"/>
    </row>
    <row r="2" spans="1:16" s="214" customFormat="1" ht="4.5" customHeight="1">
      <c r="A2" s="258"/>
      <c r="B2" s="258"/>
      <c r="C2" s="212"/>
      <c r="D2" s="213"/>
      <c r="E2" s="213"/>
      <c r="F2" s="213"/>
      <c r="N2" s="256"/>
      <c r="P2" s="257"/>
    </row>
    <row r="3" spans="1:16" s="214" customFormat="1" ht="25.5">
      <c r="A3" s="216" t="s">
        <v>36</v>
      </c>
      <c r="B3" s="217" t="s">
        <v>0</v>
      </c>
      <c r="C3" s="218" t="s">
        <v>3</v>
      </c>
      <c r="D3" s="219" t="s">
        <v>1</v>
      </c>
      <c r="E3" s="220" t="s">
        <v>2</v>
      </c>
      <c r="F3" s="221" t="s">
        <v>163</v>
      </c>
      <c r="N3" s="256"/>
      <c r="P3" s="257"/>
    </row>
    <row r="4" spans="1:16">
      <c r="A4" s="259"/>
      <c r="B4" s="260"/>
      <c r="C4" s="261"/>
      <c r="D4" s="262"/>
      <c r="E4" s="263"/>
      <c r="F4" s="262"/>
      <c r="P4" s="265"/>
    </row>
    <row r="5" spans="1:16" s="214" customFormat="1" ht="186" customHeight="1">
      <c r="A5" s="222"/>
      <c r="B5" s="442" t="s">
        <v>750</v>
      </c>
      <c r="C5" s="442"/>
      <c r="D5" s="442"/>
      <c r="E5" s="442"/>
      <c r="F5" s="442"/>
      <c r="N5" s="256"/>
      <c r="P5" s="257"/>
    </row>
    <row r="6" spans="1:16">
      <c r="A6" s="222"/>
      <c r="B6" s="266"/>
      <c r="C6" s="266"/>
      <c r="D6" s="266"/>
      <c r="E6" s="266"/>
      <c r="F6" s="266"/>
      <c r="P6" s="257"/>
    </row>
    <row r="7" spans="1:16" s="214" customFormat="1" ht="25.5">
      <c r="A7" s="227">
        <f>MAX($A$5:A6)+1</f>
        <v>1</v>
      </c>
      <c r="B7" s="228" t="s">
        <v>323</v>
      </c>
      <c r="C7" s="229" t="s">
        <v>5</v>
      </c>
      <c r="D7" s="230">
        <f>2225*0.1+24.25*0.1+88.25*0.1+1.25</f>
        <v>235</v>
      </c>
      <c r="E7" s="267"/>
      <c r="F7" s="231">
        <f>E7*D7</f>
        <v>0</v>
      </c>
      <c r="N7" s="256"/>
      <c r="P7" s="257"/>
    </row>
    <row r="8" spans="1:16" s="214" customFormat="1" ht="12.75" customHeight="1">
      <c r="A8" s="232"/>
      <c r="B8" s="228"/>
      <c r="C8" s="229"/>
      <c r="D8" s="230"/>
      <c r="E8" s="267"/>
      <c r="F8" s="231"/>
      <c r="N8" s="256"/>
      <c r="P8" s="257"/>
    </row>
    <row r="9" spans="1:16" s="214" customFormat="1" ht="25.5">
      <c r="A9" s="227">
        <f>MAX($A$5:A8)+1</f>
        <v>2</v>
      </c>
      <c r="B9" s="228" t="s">
        <v>324</v>
      </c>
      <c r="C9" s="229" t="s">
        <v>5</v>
      </c>
      <c r="D9" s="230">
        <f>45.6*1.85+0.5*4+0.4*0.95*(4.7+5)+0.95</f>
        <v>90.996000000000024</v>
      </c>
      <c r="E9" s="267"/>
      <c r="F9" s="231">
        <f>E9*D9</f>
        <v>0</v>
      </c>
      <c r="N9" s="256"/>
      <c r="O9" s="268"/>
      <c r="P9" s="257"/>
    </row>
    <row r="10" spans="1:16" s="214" customFormat="1">
      <c r="A10" s="232"/>
      <c r="B10" s="228"/>
      <c r="C10" s="229"/>
      <c r="D10" s="230"/>
      <c r="E10" s="267"/>
      <c r="F10" s="231"/>
      <c r="N10" s="256"/>
      <c r="O10" s="268"/>
      <c r="P10" s="257"/>
    </row>
    <row r="11" spans="1:16" s="214" customFormat="1" ht="26.25" customHeight="1">
      <c r="A11" s="227">
        <f>MAX($A$5:A10)+1</f>
        <v>3</v>
      </c>
      <c r="B11" s="228" t="s">
        <v>325</v>
      </c>
      <c r="C11" s="229" t="s">
        <v>5</v>
      </c>
      <c r="D11" s="230">
        <f>2.15*2.2*0.25+0.12</f>
        <v>1.3025000000000002</v>
      </c>
      <c r="E11" s="267"/>
      <c r="F11" s="231">
        <f>E11*D11</f>
        <v>0</v>
      </c>
      <c r="N11" s="256"/>
      <c r="O11" s="268"/>
      <c r="P11" s="257"/>
    </row>
    <row r="12" spans="1:16" s="214" customFormat="1">
      <c r="A12" s="232"/>
      <c r="B12" s="228"/>
      <c r="C12" s="229"/>
      <c r="D12" s="230"/>
      <c r="E12" s="267"/>
      <c r="F12" s="231"/>
      <c r="N12" s="256"/>
      <c r="O12" s="268"/>
      <c r="P12" s="257"/>
    </row>
    <row r="13" spans="1:16" s="214" customFormat="1" ht="27.75" customHeight="1">
      <c r="A13" s="227">
        <f>MAX($A$5:A12)+1</f>
        <v>4</v>
      </c>
      <c r="B13" s="228" t="s">
        <v>466</v>
      </c>
      <c r="C13" s="229" t="s">
        <v>5</v>
      </c>
      <c r="D13" s="230">
        <f>999.3*0.28+0.6*86.5+8.9*0.28+23.2*0.28+0.31</f>
        <v>341.00200000000001</v>
      </c>
      <c r="E13" s="267"/>
      <c r="F13" s="231">
        <f>E13*D13</f>
        <v>0</v>
      </c>
      <c r="N13" s="256"/>
      <c r="O13" s="268"/>
      <c r="P13" s="257"/>
    </row>
    <row r="14" spans="1:16" s="214" customFormat="1">
      <c r="A14" s="227"/>
      <c r="B14" s="228"/>
      <c r="C14" s="229"/>
      <c r="D14" s="230"/>
      <c r="E14" s="267"/>
      <c r="F14" s="231"/>
      <c r="N14" s="256"/>
      <c r="O14" s="268"/>
      <c r="P14" s="257"/>
    </row>
    <row r="15" spans="1:16" s="214" customFormat="1" ht="25.5">
      <c r="A15" s="227">
        <f>MAX($A$5:A14)+1</f>
        <v>5</v>
      </c>
      <c r="B15" s="228" t="s">
        <v>467</v>
      </c>
      <c r="C15" s="229" t="s">
        <v>5</v>
      </c>
      <c r="D15" s="230">
        <f>391.2*0.28+214.2*0.28+0.49</f>
        <v>170.00200000000001</v>
      </c>
      <c r="E15" s="267"/>
      <c r="F15" s="231">
        <f>E15*D15</f>
        <v>0</v>
      </c>
      <c r="N15" s="256"/>
      <c r="O15" s="268"/>
      <c r="P15" s="257"/>
    </row>
    <row r="16" spans="1:16">
      <c r="A16" s="232"/>
      <c r="B16" s="228"/>
      <c r="C16" s="229"/>
      <c r="D16" s="230"/>
      <c r="E16" s="267"/>
      <c r="F16" s="231"/>
      <c r="O16" s="269"/>
      <c r="P16" s="257"/>
    </row>
    <row r="17" spans="1:16" s="214" customFormat="1" ht="25.5">
      <c r="A17" s="227">
        <f>MAX($A$5:A16)+1</f>
        <v>6</v>
      </c>
      <c r="B17" s="228" t="s">
        <v>468</v>
      </c>
      <c r="C17" s="229" t="s">
        <v>5</v>
      </c>
      <c r="D17" s="230">
        <f>392.4*0.58+0.41</f>
        <v>228.00199999999998</v>
      </c>
      <c r="E17" s="267"/>
      <c r="F17" s="231">
        <f>E17*D17</f>
        <v>0</v>
      </c>
      <c r="N17" s="256"/>
      <c r="O17" s="268"/>
      <c r="P17" s="257"/>
    </row>
    <row r="18" spans="1:16">
      <c r="A18" s="232"/>
      <c r="B18" s="228"/>
      <c r="C18" s="229"/>
      <c r="D18" s="230"/>
      <c r="E18" s="267"/>
      <c r="F18" s="231"/>
      <c r="O18" s="269"/>
      <c r="P18" s="257"/>
    </row>
    <row r="19" spans="1:16" s="214" customFormat="1" ht="38.25">
      <c r="A19" s="227">
        <f>MAX($A$5:A18)+1</f>
        <v>7</v>
      </c>
      <c r="B19" s="228" t="s">
        <v>326</v>
      </c>
      <c r="C19" s="229" t="s">
        <v>5</v>
      </c>
      <c r="D19" s="230">
        <f>6.6*13.65*0.28+0.2*6.6+0.45</f>
        <v>26.995200000000004</v>
      </c>
      <c r="E19" s="267"/>
      <c r="F19" s="231">
        <f>E19*D19</f>
        <v>0</v>
      </c>
      <c r="N19" s="256"/>
      <c r="O19" s="268"/>
      <c r="P19" s="257"/>
    </row>
    <row r="20" spans="1:16">
      <c r="A20" s="232"/>
      <c r="B20" s="228"/>
      <c r="C20" s="229"/>
      <c r="D20" s="230"/>
      <c r="E20" s="267"/>
      <c r="F20" s="231"/>
      <c r="O20" s="269"/>
      <c r="P20" s="257"/>
    </row>
    <row r="21" spans="1:16" s="214" customFormat="1" ht="25.5">
      <c r="A21" s="227">
        <f>MAX($A$5:A20)+1</f>
        <v>8</v>
      </c>
      <c r="B21" s="228" t="s">
        <v>327</v>
      </c>
      <c r="C21" s="229" t="s">
        <v>5</v>
      </c>
      <c r="D21" s="230">
        <f>(2.45*2+1.65*2)*12.2*0.25-2.3*0.25*1.18*3+0.33</f>
        <v>23.304499999999997</v>
      </c>
      <c r="E21" s="267"/>
      <c r="F21" s="231">
        <f>E21*D21</f>
        <v>0</v>
      </c>
      <c r="N21" s="256"/>
      <c r="O21" s="268"/>
      <c r="P21" s="257"/>
    </row>
    <row r="22" spans="1:16">
      <c r="A22" s="232"/>
      <c r="B22" s="228"/>
      <c r="C22" s="229"/>
      <c r="D22" s="230"/>
      <c r="E22" s="267"/>
      <c r="F22" s="231"/>
      <c r="O22" s="269"/>
      <c r="P22" s="257"/>
    </row>
    <row r="23" spans="1:16" s="214" customFormat="1" ht="38.25">
      <c r="A23" s="227">
        <f>MAX($A$5:A22)+1</f>
        <v>9</v>
      </c>
      <c r="B23" s="228" t="s">
        <v>328</v>
      </c>
      <c r="C23" s="229" t="s">
        <v>5</v>
      </c>
      <c r="D23" s="230">
        <f>0.25*2.45*2.15+0.08</f>
        <v>1.3968750000000001</v>
      </c>
      <c r="E23" s="267"/>
      <c r="F23" s="231">
        <f>E23*D23</f>
        <v>0</v>
      </c>
      <c r="N23" s="256"/>
      <c r="O23" s="268"/>
      <c r="P23" s="257"/>
    </row>
    <row r="24" spans="1:16" s="214" customFormat="1">
      <c r="A24" s="227"/>
      <c r="B24" s="228"/>
      <c r="C24" s="229"/>
      <c r="D24" s="230"/>
      <c r="E24" s="267"/>
      <c r="F24" s="231"/>
      <c r="N24" s="256"/>
      <c r="O24" s="268"/>
      <c r="P24" s="257"/>
    </row>
    <row r="25" spans="1:16" s="214" customFormat="1" ht="25.5">
      <c r="A25" s="227">
        <f>MAX($A$5:A24)+1</f>
        <v>10</v>
      </c>
      <c r="B25" s="228" t="s">
        <v>329</v>
      </c>
      <c r="C25" s="229" t="s">
        <v>5</v>
      </c>
      <c r="D25" s="230">
        <f>49.5*0.25*2.52+0.5*(23.5+2*12.9)-1*2.2*0.25-1*1.5*0.25-1.4*0.25-5.3*0.25+18.35*0.25*2.52-1.6*0.6*0.25*2+2.3*0.25*(5*6)+32.1*0.25*2+8.75*3.02*0.25+21.35*3.02*0.25-1.4*3.02*0.25+23.5*0.25*3.32-2.6*2.9*0.25-1.6*2.9*0.25+8.75*0.25*3.32*2-1.2*2.5*0.25-2.2*0.25*2.5+1.86</f>
        <v>150.00400000000002</v>
      </c>
      <c r="E25" s="267"/>
      <c r="F25" s="231">
        <f>E25*D25</f>
        <v>0</v>
      </c>
      <c r="N25" s="256"/>
      <c r="O25" s="268"/>
      <c r="P25" s="257"/>
    </row>
    <row r="26" spans="1:16" s="214" customFormat="1">
      <c r="A26" s="232"/>
      <c r="B26" s="228"/>
      <c r="C26" s="229"/>
      <c r="D26" s="230"/>
      <c r="E26" s="267"/>
      <c r="F26" s="231"/>
      <c r="N26" s="256"/>
      <c r="O26" s="268"/>
      <c r="P26" s="257"/>
    </row>
    <row r="27" spans="1:16" s="214" customFormat="1" ht="51">
      <c r="A27" s="227">
        <f>MAX($A$5:A26)+1</f>
        <v>11</v>
      </c>
      <c r="B27" s="228" t="s">
        <v>330</v>
      </c>
      <c r="C27" s="229" t="s">
        <v>5</v>
      </c>
      <c r="D27" s="230">
        <f>33.85*0.25*11.95+229.2*0.25-(19+19.3+19+19+19.3+19)*0.25+412.3*0.25-8.1*0.25-3.8*0.25-2.15*0.25*12.2+0.6*0.35*5*11.4+0.6*0.35*(14.4+14.8)+5*0.6*0.35*11.4+1.61+9.4*0.25*11.9+2.1*0.25*2*3.4+3.4*0.25*9.15*2-1*2.5*2*0.25-1.6*2.9*0.25*2+2.48</f>
        <v>301.00137500000005</v>
      </c>
      <c r="E27" s="267"/>
      <c r="F27" s="231">
        <f>E27*D27</f>
        <v>0</v>
      </c>
      <c r="N27" s="256"/>
      <c r="O27" s="268"/>
      <c r="P27" s="257"/>
    </row>
    <row r="28" spans="1:16" s="214" customFormat="1">
      <c r="A28" s="232"/>
      <c r="B28" s="228"/>
      <c r="C28" s="229"/>
      <c r="D28" s="230"/>
      <c r="E28" s="267"/>
      <c r="F28" s="231"/>
      <c r="N28" s="256"/>
      <c r="O28" s="268"/>
      <c r="P28" s="257"/>
    </row>
    <row r="29" spans="1:16" s="214" customFormat="1" ht="25.5">
      <c r="A29" s="227">
        <f>MAX($A$5:A28)+1</f>
        <v>12</v>
      </c>
      <c r="B29" s="228" t="s">
        <v>331</v>
      </c>
      <c r="C29" s="229" t="s">
        <v>5</v>
      </c>
      <c r="D29" s="230">
        <f>0.6*0.25*6*2.52+0.13</f>
        <v>2.3979999999999997</v>
      </c>
      <c r="E29" s="267"/>
      <c r="F29" s="231">
        <f>E29*D29</f>
        <v>0</v>
      </c>
      <c r="N29" s="256"/>
      <c r="O29" s="268"/>
      <c r="P29" s="257"/>
    </row>
    <row r="30" spans="1:16" s="214" customFormat="1">
      <c r="A30" s="232"/>
      <c r="B30" s="228"/>
      <c r="C30" s="229"/>
      <c r="D30" s="230"/>
      <c r="E30" s="267"/>
      <c r="F30" s="231"/>
      <c r="N30" s="256"/>
      <c r="O30" s="268"/>
      <c r="P30" s="257"/>
    </row>
    <row r="31" spans="1:16" s="214" customFormat="1" ht="25.5">
      <c r="A31" s="227">
        <f>MAX($A$5:A30)+1</f>
        <v>13</v>
      </c>
      <c r="B31" s="228" t="s">
        <v>332</v>
      </c>
      <c r="C31" s="229" t="s">
        <v>5</v>
      </c>
      <c r="D31" s="230">
        <f>0.3*0.2*3.4*6+0.2*0.2*7*3.4+0.25*0.25*3.4*18+0.35*0.25*3.4*4+0.41</f>
        <v>7.6009999999999991</v>
      </c>
      <c r="E31" s="267"/>
      <c r="F31" s="231">
        <f>E31*D31</f>
        <v>0</v>
      </c>
      <c r="N31" s="256"/>
      <c r="O31" s="268"/>
      <c r="P31" s="257"/>
    </row>
    <row r="32" spans="1:16" s="214" customFormat="1">
      <c r="A32" s="232"/>
      <c r="B32" s="228"/>
      <c r="C32" s="229"/>
      <c r="D32" s="230"/>
      <c r="E32" s="267"/>
      <c r="F32" s="231"/>
      <c r="N32" s="256"/>
      <c r="O32" s="268"/>
      <c r="P32" s="257"/>
    </row>
    <row r="33" spans="1:16" s="214" customFormat="1" ht="27.75" customHeight="1">
      <c r="A33" s="227">
        <f>MAX($A$5:A32)+1</f>
        <v>14</v>
      </c>
      <c r="B33" s="228" t="s">
        <v>333</v>
      </c>
      <c r="C33" s="229" t="s">
        <v>5</v>
      </c>
      <c r="D33" s="230">
        <f>0.25*1*3*15.85+0.25*0.5*15.85+0.25*0.5*5.15+0.2*0.2*1.1+0.2*0.2*1.2+0.2*0.2*1.2*6+0.25*0.2*1+0.25*0.2*1.2+0.25*0.2*1.4*5+1.15</f>
        <v>16.502500000000001</v>
      </c>
      <c r="E33" s="267"/>
      <c r="F33" s="231">
        <f>E33*D33</f>
        <v>0</v>
      </c>
      <c r="N33" s="256"/>
      <c r="O33" s="268"/>
      <c r="P33" s="257"/>
    </row>
    <row r="34" spans="1:16" s="214" customFormat="1">
      <c r="A34" s="232"/>
      <c r="B34" s="228"/>
      <c r="C34" s="229"/>
      <c r="D34" s="230"/>
      <c r="E34" s="267"/>
      <c r="F34" s="231"/>
      <c r="N34" s="256"/>
      <c r="O34" s="268"/>
      <c r="P34" s="257"/>
    </row>
    <row r="35" spans="1:16" ht="25.5" customHeight="1">
      <c r="A35" s="227">
        <f>MAX($A$5:A34)+1</f>
        <v>15</v>
      </c>
      <c r="B35" s="228" t="s">
        <v>334</v>
      </c>
      <c r="C35" s="229" t="s">
        <v>5</v>
      </c>
      <c r="D35" s="230">
        <f>1213.8*0.28+0.5*0.28*24+0.78</f>
        <v>344.00400000000002</v>
      </c>
      <c r="E35" s="267"/>
      <c r="F35" s="231">
        <f>E35*D35</f>
        <v>0</v>
      </c>
      <c r="O35" s="269"/>
      <c r="P35" s="257"/>
    </row>
    <row r="36" spans="1:16">
      <c r="A36" s="232"/>
      <c r="B36" s="228"/>
      <c r="C36" s="229"/>
      <c r="D36" s="230"/>
      <c r="E36" s="267"/>
      <c r="F36" s="231"/>
      <c r="O36" s="269"/>
      <c r="P36" s="257"/>
    </row>
    <row r="37" spans="1:16" ht="27.75" customHeight="1">
      <c r="A37" s="227">
        <f>MAX($A$5:A36)+1</f>
        <v>16</v>
      </c>
      <c r="B37" s="228" t="s">
        <v>335</v>
      </c>
      <c r="C37" s="229" t="s">
        <v>5</v>
      </c>
      <c r="D37" s="230">
        <f>175.8*0.2+0.84</f>
        <v>36.000000000000007</v>
      </c>
      <c r="E37" s="267"/>
      <c r="F37" s="231">
        <f>E37*D37</f>
        <v>0</v>
      </c>
      <c r="O37" s="269"/>
      <c r="P37" s="257"/>
    </row>
    <row r="38" spans="1:16">
      <c r="A38" s="232"/>
      <c r="B38" s="228"/>
      <c r="C38" s="229"/>
      <c r="D38" s="230"/>
      <c r="E38" s="267"/>
      <c r="F38" s="231"/>
      <c r="O38" s="269"/>
      <c r="P38" s="257"/>
    </row>
    <row r="39" spans="1:16" ht="27" customHeight="1">
      <c r="A39" s="227">
        <f>MAX($A$5:A38)+1</f>
        <v>17</v>
      </c>
      <c r="B39" s="228" t="s">
        <v>336</v>
      </c>
      <c r="C39" s="229" t="s">
        <v>5</v>
      </c>
      <c r="D39" s="230">
        <f>6.6*13.3*0.25+0.55</f>
        <v>22.495000000000001</v>
      </c>
      <c r="E39" s="267"/>
      <c r="F39" s="231">
        <f>E39*D39</f>
        <v>0</v>
      </c>
      <c r="O39" s="269"/>
      <c r="P39" s="257"/>
    </row>
    <row r="40" spans="1:16">
      <c r="A40" s="232"/>
      <c r="B40" s="228"/>
      <c r="C40" s="229"/>
      <c r="D40" s="230"/>
      <c r="E40" s="267"/>
      <c r="F40" s="231"/>
      <c r="O40" s="269"/>
      <c r="P40" s="257"/>
    </row>
    <row r="41" spans="1:16" ht="25.5">
      <c r="A41" s="227">
        <f>MAX($A$5:A40)+1</f>
        <v>18</v>
      </c>
      <c r="B41" s="228" t="s">
        <v>337</v>
      </c>
      <c r="C41" s="229" t="s">
        <v>5</v>
      </c>
      <c r="D41" s="230">
        <f>0.63*0.2*6.6+0.7*0.25*24.6+12.3*0.25+13.9*0.25+13.6*0.25+1.8*0.25*29+23.8*0.25+18.4*0.25*0.2+0.99</f>
        <v>35.996600000000008</v>
      </c>
      <c r="E41" s="267"/>
      <c r="F41" s="231">
        <f>E41*D41</f>
        <v>0</v>
      </c>
      <c r="O41" s="269"/>
      <c r="P41" s="257"/>
    </row>
    <row r="42" spans="1:16">
      <c r="A42" s="232"/>
      <c r="B42" s="228"/>
      <c r="C42" s="229"/>
      <c r="D42" s="230"/>
      <c r="E42" s="267"/>
      <c r="F42" s="231"/>
      <c r="O42" s="269"/>
      <c r="P42" s="257"/>
    </row>
    <row r="43" spans="1:16" s="214" customFormat="1" ht="25.5">
      <c r="A43" s="227">
        <f>MAX($A$5:A41)+1</f>
        <v>19</v>
      </c>
      <c r="B43" s="228" t="s">
        <v>339</v>
      </c>
      <c r="C43" s="229" t="s">
        <v>5</v>
      </c>
      <c r="D43" s="230">
        <f>32.2*0.25+84.9*0.25-(1.6*1.6+3.8*1.6+2.8*1.6)*0.25+78.6*0.25-2.8*4.1*0.25+0.25*(9.6+9.6+0.4+3.8+7.9+3.8)*3.62+24*0.25*3.62-1.6*0.25*3.2-1*0.25*3.2+8.8*3.62*0.25-(1.5+2.4+1.7)*0.25+0.25*2.1*3.7*2+9.65*2*0.25*3.7-1.6*3.2*0.25*2+1.95*0.3*3.64-1*0.3*2.5+4.78*0.25*3.65+3.6*0.25*3.6+1.1</f>
        <v>130.00315000000001</v>
      </c>
      <c r="E43" s="267"/>
      <c r="F43" s="231">
        <f>E43*D43</f>
        <v>0</v>
      </c>
      <c r="N43" s="256"/>
      <c r="O43" s="268"/>
      <c r="P43" s="257"/>
    </row>
    <row r="44" spans="1:16" s="214" customFormat="1">
      <c r="A44" s="232"/>
      <c r="B44" s="228"/>
      <c r="C44" s="229"/>
      <c r="D44" s="230"/>
      <c r="E44" s="267"/>
      <c r="F44" s="231"/>
      <c r="N44" s="256"/>
      <c r="O44" s="268"/>
      <c r="P44" s="257"/>
    </row>
    <row r="45" spans="1:16" ht="25.5">
      <c r="A45" s="227">
        <f>MAX($A$5:A44)+1</f>
        <v>20</v>
      </c>
      <c r="B45" s="228" t="s">
        <v>340</v>
      </c>
      <c r="C45" s="229" t="s">
        <v>5</v>
      </c>
      <c r="D45" s="230">
        <f>0.2*0.2*11*3.7+0.3*0.3*2*3.64+0.35*0.3*3.64+0.2*0.2*3.64</f>
        <v>2.8110000000000004</v>
      </c>
      <c r="E45" s="267"/>
      <c r="F45" s="231">
        <f>E45*D45</f>
        <v>0</v>
      </c>
      <c r="O45" s="269"/>
      <c r="P45" s="257"/>
    </row>
    <row r="46" spans="1:16">
      <c r="A46" s="232"/>
      <c r="B46" s="228"/>
      <c r="C46" s="229"/>
      <c r="D46" s="230"/>
      <c r="E46" s="267"/>
      <c r="F46" s="231"/>
      <c r="O46" s="269"/>
      <c r="P46" s="257"/>
    </row>
    <row r="47" spans="1:16" ht="25.5">
      <c r="A47" s="227">
        <f>MAX($A$5:A46)+1</f>
        <v>21</v>
      </c>
      <c r="B47" s="228" t="s">
        <v>341</v>
      </c>
      <c r="C47" s="229" t="s">
        <v>5</v>
      </c>
      <c r="D47" s="230">
        <f>0.25*0.7*4.7+0.25*0.7*8.75+0.25*0.7*3.85+0.25*0.7*11.4+0.25*0.7*5</f>
        <v>5.8975</v>
      </c>
      <c r="E47" s="267"/>
      <c r="F47" s="231">
        <f>E47*D47</f>
        <v>0</v>
      </c>
      <c r="O47" s="269"/>
      <c r="P47" s="257"/>
    </row>
    <row r="48" spans="1:16">
      <c r="A48" s="232"/>
      <c r="B48" s="228"/>
      <c r="C48" s="229"/>
      <c r="D48" s="230"/>
      <c r="E48" s="267"/>
      <c r="F48" s="231"/>
      <c r="O48" s="269"/>
      <c r="P48" s="257"/>
    </row>
    <row r="49" spans="1:16" ht="30" customHeight="1">
      <c r="A49" s="227">
        <f>MAX($A$5:A48)+1</f>
        <v>22</v>
      </c>
      <c r="B49" s="228" t="s">
        <v>338</v>
      </c>
      <c r="C49" s="229" t="s">
        <v>5</v>
      </c>
      <c r="D49" s="230">
        <f>502*0.28+56.7*0.2+1.1</f>
        <v>153</v>
      </c>
      <c r="E49" s="267"/>
      <c r="F49" s="231">
        <f>E49*D49</f>
        <v>0</v>
      </c>
      <c r="O49" s="269"/>
      <c r="P49" s="257"/>
    </row>
    <row r="50" spans="1:16">
      <c r="A50" s="227"/>
      <c r="B50" s="228"/>
      <c r="C50" s="229"/>
      <c r="D50" s="230"/>
      <c r="E50" s="267"/>
      <c r="F50" s="231"/>
      <c r="O50" s="269"/>
      <c r="P50" s="257"/>
    </row>
    <row r="51" spans="1:16" ht="25.5">
      <c r="A51" s="227">
        <f>MAX($A$5:A50)+1</f>
        <v>23</v>
      </c>
      <c r="B51" s="228" t="s">
        <v>349</v>
      </c>
      <c r="C51" s="229" t="s">
        <v>5</v>
      </c>
      <c r="D51" s="230">
        <f>0.37*0.2*21.65+0.1</f>
        <v>1.7020999999999999</v>
      </c>
      <c r="E51" s="267"/>
      <c r="F51" s="231">
        <f>E51*D51</f>
        <v>0</v>
      </c>
      <c r="O51" s="269"/>
      <c r="P51" s="257"/>
    </row>
    <row r="52" spans="1:16">
      <c r="A52" s="232"/>
      <c r="B52" s="228"/>
      <c r="C52" s="229"/>
      <c r="D52" s="230"/>
      <c r="E52" s="267"/>
      <c r="F52" s="231"/>
      <c r="O52" s="269"/>
      <c r="P52" s="257"/>
    </row>
    <row r="53" spans="1:16" ht="37.5" customHeight="1">
      <c r="A53" s="227">
        <f>MAX($A$5:A52)+1</f>
        <v>24</v>
      </c>
      <c r="B53" s="228" t="s">
        <v>346</v>
      </c>
      <c r="C53" s="229" t="s">
        <v>5</v>
      </c>
      <c r="D53" s="230">
        <f>100.7*0.2+0.86</f>
        <v>21</v>
      </c>
      <c r="E53" s="267"/>
      <c r="F53" s="231">
        <f>E53*D53</f>
        <v>0</v>
      </c>
      <c r="O53" s="269"/>
      <c r="P53" s="257"/>
    </row>
    <row r="54" spans="1:16">
      <c r="A54" s="232"/>
      <c r="B54" s="228"/>
      <c r="C54" s="229"/>
      <c r="D54" s="230"/>
      <c r="E54" s="267"/>
      <c r="F54" s="231"/>
      <c r="O54" s="269"/>
      <c r="P54" s="257"/>
    </row>
    <row r="55" spans="1:16" ht="38.25">
      <c r="A55" s="227">
        <f>MAX($A$5:A54)+1</f>
        <v>25</v>
      </c>
      <c r="B55" s="228" t="s">
        <v>342</v>
      </c>
      <c r="C55" s="229" t="s">
        <v>5</v>
      </c>
      <c r="D55" s="230">
        <f>2.7*1.8+0.14</f>
        <v>5</v>
      </c>
      <c r="E55" s="267"/>
      <c r="F55" s="231">
        <f>E55*D55</f>
        <v>0</v>
      </c>
      <c r="O55" s="269"/>
      <c r="P55" s="257"/>
    </row>
    <row r="56" spans="1:16">
      <c r="A56" s="232"/>
      <c r="B56" s="228"/>
      <c r="C56" s="229"/>
      <c r="D56" s="230"/>
      <c r="E56" s="267"/>
      <c r="F56" s="231"/>
      <c r="O56" s="269"/>
      <c r="P56" s="257"/>
    </row>
    <row r="57" spans="1:16" s="214" customFormat="1" ht="25.5">
      <c r="A57" s="227">
        <f>MAX($A$5:A56)+1</f>
        <v>26</v>
      </c>
      <c r="B57" s="228" t="s">
        <v>343</v>
      </c>
      <c r="C57" s="229" t="s">
        <v>5</v>
      </c>
      <c r="D57" s="230">
        <f>32.7*0.25+87.5*0.25-1.6*1.6*0.25-3.8*1.6*0.25-1.6*2.8*0.25+83.25*0.25-3.2*0.25*1.6-5.6*0.25*1.6+24*0.25*3.62-1.6*3.2*0.25+9.6*0.25*3.62*2+0.4*2*3.62+2.4*3.62*0.25+0.8*0.25*3.62+3.25*0.25*3.62+3.15*0.25*3.62+8.8*3.62*0.25-(1.8+2.7+2.4)*0.3*0.25+2.1*0.25*2*3.3+9.65*2*0.25*3.3-1.6*3.2*2*0.25+1.26</f>
        <v>118.99650000000001</v>
      </c>
      <c r="E57" s="267"/>
      <c r="F57" s="231">
        <f>E57*D57</f>
        <v>0</v>
      </c>
      <c r="N57" s="256"/>
      <c r="O57" s="268"/>
      <c r="P57" s="257"/>
    </row>
    <row r="58" spans="1:16" s="214" customFormat="1">
      <c r="A58" s="227"/>
      <c r="B58" s="228"/>
      <c r="C58" s="229"/>
      <c r="D58" s="230"/>
      <c r="E58" s="267"/>
      <c r="F58" s="231"/>
      <c r="N58" s="256"/>
      <c r="O58" s="268"/>
      <c r="P58" s="257"/>
    </row>
    <row r="59" spans="1:16" ht="37.5" customHeight="1">
      <c r="A59" s="227">
        <f>MAX($A$5:A58)+1</f>
        <v>27</v>
      </c>
      <c r="B59" s="228" t="s">
        <v>345</v>
      </c>
      <c r="C59" s="229" t="s">
        <v>5</v>
      </c>
      <c r="D59" s="230">
        <f>416.6*0.28+0.35</f>
        <v>116.99800000000002</v>
      </c>
      <c r="E59" s="267"/>
      <c r="F59" s="231">
        <f>E59*D59</f>
        <v>0</v>
      </c>
      <c r="O59" s="269"/>
      <c r="P59" s="257"/>
    </row>
    <row r="60" spans="1:16" s="214" customFormat="1">
      <c r="A60" s="227"/>
      <c r="B60" s="228"/>
      <c r="C60" s="229"/>
      <c r="D60" s="230"/>
      <c r="E60" s="267"/>
      <c r="F60" s="231"/>
      <c r="N60" s="256"/>
      <c r="O60" s="268"/>
      <c r="P60" s="257"/>
    </row>
    <row r="61" spans="1:16" ht="37.5" customHeight="1">
      <c r="A61" s="227">
        <f>MAX($A$5:A60)+1</f>
        <v>28</v>
      </c>
      <c r="B61" s="228" t="s">
        <v>347</v>
      </c>
      <c r="C61" s="229" t="s">
        <v>5</v>
      </c>
      <c r="D61" s="230">
        <f>25*0.2*2-1.2*1.5*0.2*2+0.72</f>
        <v>10</v>
      </c>
      <c r="E61" s="267"/>
      <c r="F61" s="231">
        <f>E61*D61</f>
        <v>0</v>
      </c>
      <c r="O61" s="269"/>
      <c r="P61" s="257"/>
    </row>
    <row r="62" spans="1:16" s="214" customFormat="1">
      <c r="A62" s="227"/>
      <c r="B62" s="228"/>
      <c r="C62" s="229"/>
      <c r="D62" s="230"/>
      <c r="E62" s="267"/>
      <c r="F62" s="231"/>
      <c r="N62" s="256"/>
      <c r="O62" s="268"/>
      <c r="P62" s="257"/>
    </row>
    <row r="63" spans="1:16" ht="38.25">
      <c r="A63" s="227">
        <f>MAX($A$5:A62)+1</f>
        <v>29</v>
      </c>
      <c r="B63" s="228" t="s">
        <v>344</v>
      </c>
      <c r="C63" s="229" t="s">
        <v>5</v>
      </c>
      <c r="D63" s="230">
        <v>5</v>
      </c>
      <c r="E63" s="267"/>
      <c r="F63" s="231">
        <f>E63*D63</f>
        <v>0</v>
      </c>
      <c r="O63" s="269"/>
      <c r="P63" s="257"/>
    </row>
    <row r="64" spans="1:16" s="214" customFormat="1">
      <c r="A64" s="232"/>
      <c r="B64" s="228"/>
      <c r="C64" s="229"/>
      <c r="D64" s="230"/>
      <c r="E64" s="267"/>
      <c r="F64" s="231"/>
      <c r="N64" s="256"/>
      <c r="O64" s="268"/>
      <c r="P64" s="257"/>
    </row>
    <row r="65" spans="1:16" s="214" customFormat="1" ht="25.5">
      <c r="A65" s="227">
        <f>MAX($A$5:A64)+1</f>
        <v>30</v>
      </c>
      <c r="B65" s="228" t="s">
        <v>348</v>
      </c>
      <c r="C65" s="229" t="s">
        <v>5</v>
      </c>
      <c r="D65" s="230">
        <f>48.1*0.25-(2+4.9+7.6+5.9+1.9)*0.25+9.65*1.48*0.25+1.35*0.2*4.05+4*0.25*3.1+28.2*0.25-1.8*2.45*0.2+48.2*0.25+0.57+0.25*0.2*2*(24.3+23.1)+1.26</f>
        <v>39.002000000000002</v>
      </c>
      <c r="E65" s="267"/>
      <c r="F65" s="231">
        <f>E65*D65</f>
        <v>0</v>
      </c>
      <c r="N65" s="256"/>
      <c r="O65" s="268"/>
      <c r="P65" s="257"/>
    </row>
    <row r="66" spans="1:16" s="214" customFormat="1">
      <c r="A66" s="232"/>
      <c r="B66" s="228"/>
      <c r="C66" s="229"/>
      <c r="D66" s="230"/>
      <c r="E66" s="267"/>
      <c r="F66" s="231"/>
      <c r="N66" s="256"/>
      <c r="O66" s="268"/>
      <c r="P66" s="257"/>
    </row>
    <row r="67" spans="1:16" s="214" customFormat="1" ht="38.25">
      <c r="A67" s="227">
        <f>MAX($A$5:A66)+1</f>
        <v>31</v>
      </c>
      <c r="B67" s="228" t="s">
        <v>350</v>
      </c>
      <c r="C67" s="229" t="s">
        <v>5</v>
      </c>
      <c r="D67" s="230">
        <f>(0.82*1.2+1*3*1.2+1.01*1.2*2+0.1*1.35*0.16*6+0.86)*2</f>
        <v>15.995199999999999</v>
      </c>
      <c r="E67" s="267"/>
      <c r="F67" s="231">
        <f>E67*D67</f>
        <v>0</v>
      </c>
      <c r="N67" s="256"/>
      <c r="O67" s="268"/>
      <c r="P67" s="257"/>
    </row>
    <row r="68" spans="1:16" s="214" customFormat="1">
      <c r="A68" s="227"/>
      <c r="B68" s="228"/>
      <c r="C68" s="229"/>
      <c r="D68" s="230"/>
      <c r="E68" s="267"/>
      <c r="F68" s="231"/>
      <c r="N68" s="256"/>
      <c r="O68" s="268"/>
      <c r="P68" s="257"/>
    </row>
    <row r="69" spans="1:16" s="214" customFormat="1" ht="37.5" customHeight="1">
      <c r="A69" s="227">
        <f>MAX($A$5:A68)+1</f>
        <v>32</v>
      </c>
      <c r="B69" s="228" t="s">
        <v>353</v>
      </c>
      <c r="C69" s="229" t="s">
        <v>5</v>
      </c>
      <c r="D69" s="230">
        <f>1*1.2+0.3</f>
        <v>1.5</v>
      </c>
      <c r="E69" s="267"/>
      <c r="F69" s="231">
        <f>E69*D69</f>
        <v>0</v>
      </c>
      <c r="N69" s="256"/>
      <c r="O69" s="268"/>
      <c r="P69" s="257"/>
    </row>
    <row r="70" spans="1:16" s="214" customFormat="1">
      <c r="A70" s="232"/>
      <c r="B70" s="228"/>
      <c r="C70" s="229"/>
      <c r="D70" s="230"/>
      <c r="E70" s="267"/>
      <c r="F70" s="231"/>
      <c r="N70" s="256"/>
      <c r="O70" s="268"/>
      <c r="P70" s="257"/>
    </row>
    <row r="71" spans="1:16" s="214" customFormat="1" ht="37.5" customHeight="1">
      <c r="A71" s="227">
        <f>MAX($A$5:A70)+1</f>
        <v>33</v>
      </c>
      <c r="B71" s="228" t="s">
        <v>354</v>
      </c>
      <c r="C71" s="229" t="s">
        <v>5</v>
      </c>
      <c r="D71" s="230">
        <f>17*0.6+0.82*2*0.7+2.07*0.25*4+1.58</f>
        <v>14.997999999999999</v>
      </c>
      <c r="E71" s="267"/>
      <c r="F71" s="231">
        <f>E71*D71</f>
        <v>0</v>
      </c>
      <c r="N71" s="256"/>
      <c r="O71" s="268"/>
      <c r="P71" s="257"/>
    </row>
    <row r="72" spans="1:16" s="214" customFormat="1">
      <c r="A72" s="227"/>
      <c r="B72" s="228"/>
      <c r="C72" s="229"/>
      <c r="D72" s="230"/>
      <c r="E72" s="267"/>
      <c r="F72" s="231"/>
      <c r="N72" s="256"/>
      <c r="O72" s="268"/>
      <c r="P72" s="257"/>
    </row>
    <row r="73" spans="1:16" s="214" customFormat="1" ht="37.5" customHeight="1">
      <c r="A73" s="227">
        <f>MAX($A$5:A72)+1</f>
        <v>34</v>
      </c>
      <c r="B73" s="228" t="s">
        <v>461</v>
      </c>
      <c r="C73" s="229" t="s">
        <v>5</v>
      </c>
      <c r="D73" s="230">
        <f>3.141592654*0.08415*0.08415*3.71*2+0.03</f>
        <v>0.1950676690780592</v>
      </c>
      <c r="E73" s="267"/>
      <c r="F73" s="231">
        <f>E73*D73</f>
        <v>0</v>
      </c>
      <c r="N73" s="256"/>
      <c r="O73" s="268"/>
      <c r="P73" s="257"/>
    </row>
    <row r="74" spans="1:16" s="214" customFormat="1">
      <c r="A74" s="232"/>
      <c r="B74" s="228"/>
      <c r="C74" s="229"/>
      <c r="D74" s="230"/>
      <c r="E74" s="267"/>
      <c r="F74" s="231"/>
      <c r="N74" s="256"/>
      <c r="O74" s="268"/>
      <c r="P74" s="257"/>
    </row>
    <row r="75" spans="1:16" s="214" customFormat="1" ht="37.5" customHeight="1">
      <c r="A75" s="227">
        <f>MAX($A$5:A74)+1</f>
        <v>35</v>
      </c>
      <c r="B75" s="228" t="s">
        <v>465</v>
      </c>
      <c r="C75" s="229" t="s">
        <v>5</v>
      </c>
      <c r="D75" s="230">
        <f>3.141592654*0.1*0.1*3.9*2</f>
        <v>0.24504422701200004</v>
      </c>
      <c r="E75" s="267"/>
      <c r="F75" s="231">
        <f>E75*D75</f>
        <v>0</v>
      </c>
      <c r="N75" s="256"/>
      <c r="O75" s="268"/>
      <c r="P75" s="257"/>
    </row>
    <row r="76" spans="1:16" s="214" customFormat="1">
      <c r="A76" s="232"/>
      <c r="B76" s="228"/>
      <c r="C76" s="229"/>
      <c r="D76" s="230"/>
      <c r="E76" s="267"/>
      <c r="F76" s="231"/>
      <c r="N76" s="256"/>
      <c r="O76" s="268"/>
      <c r="P76" s="257"/>
    </row>
    <row r="77" spans="1:16" s="214" customFormat="1" ht="25.5">
      <c r="A77" s="227">
        <f>MAX($A$5:A76)+1</f>
        <v>36</v>
      </c>
      <c r="B77" s="228" t="s">
        <v>428</v>
      </c>
      <c r="C77" s="229" t="s">
        <v>4</v>
      </c>
      <c r="D77" s="230">
        <v>944</v>
      </c>
      <c r="E77" s="267"/>
      <c r="F77" s="231">
        <f>E77*D77</f>
        <v>0</v>
      </c>
      <c r="N77" s="256"/>
      <c r="O77" s="268"/>
      <c r="P77" s="257"/>
    </row>
    <row r="78" spans="1:16" s="214" customFormat="1">
      <c r="A78" s="232"/>
      <c r="B78" s="228"/>
      <c r="C78" s="229"/>
      <c r="D78" s="230"/>
      <c r="E78" s="267"/>
      <c r="F78" s="231"/>
      <c r="N78" s="256"/>
      <c r="O78" s="268"/>
      <c r="P78" s="257"/>
    </row>
    <row r="79" spans="1:16" s="214" customFormat="1" ht="38.25">
      <c r="A79" s="227">
        <f>MAX($A$5:A78)+1</f>
        <v>37</v>
      </c>
      <c r="B79" s="233" t="s">
        <v>469</v>
      </c>
      <c r="C79" s="229" t="s">
        <v>5</v>
      </c>
      <c r="D79" s="230">
        <f>D15+D17+D19++D25-3.3*21.4*0.25*2+0.31</f>
        <v>540.00320000000011</v>
      </c>
      <c r="E79" s="267"/>
      <c r="F79" s="231">
        <f>E79*D79</f>
        <v>0</v>
      </c>
      <c r="N79" s="256"/>
      <c r="O79" s="268"/>
      <c r="P79" s="257"/>
    </row>
    <row r="80" spans="1:16" s="214" customFormat="1">
      <c r="A80" s="232"/>
      <c r="B80" s="228"/>
      <c r="C80" s="229"/>
      <c r="D80" s="230"/>
      <c r="E80" s="267"/>
      <c r="F80" s="231"/>
      <c r="N80" s="256"/>
      <c r="O80" s="268"/>
      <c r="P80" s="257"/>
    </row>
    <row r="81" spans="1:16" s="214" customFormat="1" ht="25.5">
      <c r="A81" s="227">
        <f>MAX($A$5:A80)+1</f>
        <v>38</v>
      </c>
      <c r="B81" s="228" t="s">
        <v>228</v>
      </c>
      <c r="C81" s="229" t="s">
        <v>4</v>
      </c>
      <c r="D81" s="230">
        <v>200</v>
      </c>
      <c r="E81" s="267"/>
      <c r="F81" s="231">
        <f>E81*D81</f>
        <v>0</v>
      </c>
      <c r="N81" s="256"/>
      <c r="O81" s="268"/>
      <c r="P81" s="257"/>
    </row>
    <row r="82" spans="1:16">
      <c r="A82" s="232"/>
      <c r="B82" s="228"/>
      <c r="C82" s="229"/>
      <c r="D82" s="230"/>
      <c r="E82" s="267"/>
      <c r="F82" s="231"/>
      <c r="P82" s="257"/>
    </row>
    <row r="83" spans="1:16" s="271" customFormat="1" ht="51">
      <c r="A83" s="227">
        <f>MAX($A$5:A82)+1</f>
        <v>39</v>
      </c>
      <c r="B83" s="228" t="s">
        <v>274</v>
      </c>
      <c r="C83" s="270"/>
      <c r="D83" s="270"/>
      <c r="E83" s="214"/>
      <c r="F83" s="270"/>
      <c r="H83" s="276"/>
      <c r="I83" s="272"/>
      <c r="L83" s="273"/>
      <c r="N83" s="274"/>
      <c r="P83" s="275"/>
    </row>
    <row r="84" spans="1:16" s="271" customFormat="1" ht="13.5">
      <c r="A84" s="227" t="s">
        <v>586</v>
      </c>
      <c r="B84" s="228" t="s">
        <v>351</v>
      </c>
      <c r="C84" s="229" t="s">
        <v>7</v>
      </c>
      <c r="D84" s="276">
        <f>38016-2051-884</f>
        <v>35081</v>
      </c>
      <c r="E84" s="267"/>
      <c r="F84" s="231">
        <f>E84*D84</f>
        <v>0</v>
      </c>
      <c r="H84" s="276"/>
      <c r="I84" s="272"/>
      <c r="L84" s="273"/>
      <c r="N84" s="274"/>
      <c r="P84" s="275"/>
    </row>
    <row r="85" spans="1:16" s="271" customFormat="1" ht="13.5">
      <c r="A85" s="227" t="s">
        <v>587</v>
      </c>
      <c r="B85" s="228" t="s">
        <v>352</v>
      </c>
      <c r="C85" s="229" t="s">
        <v>7</v>
      </c>
      <c r="D85" s="276">
        <f>41965-1025-31</f>
        <v>40909</v>
      </c>
      <c r="E85" s="267"/>
      <c r="F85" s="231">
        <f>E85*D85</f>
        <v>0</v>
      </c>
      <c r="H85" s="276"/>
      <c r="I85" s="272"/>
      <c r="L85" s="273"/>
      <c r="N85" s="274"/>
      <c r="P85" s="275"/>
    </row>
    <row r="86" spans="1:16" s="271" customFormat="1" ht="13.5">
      <c r="A86" s="227" t="s">
        <v>588</v>
      </c>
      <c r="B86" s="228" t="s">
        <v>289</v>
      </c>
      <c r="C86" s="229" t="s">
        <v>7</v>
      </c>
      <c r="D86" s="276">
        <f>188863-5272</f>
        <v>183591</v>
      </c>
      <c r="E86" s="267"/>
      <c r="F86" s="231">
        <f>E86*D86</f>
        <v>0</v>
      </c>
      <c r="H86" s="276"/>
      <c r="I86" s="272"/>
      <c r="L86" s="273"/>
      <c r="N86" s="274"/>
      <c r="P86" s="275"/>
    </row>
    <row r="87" spans="1:16">
      <c r="A87" s="222"/>
      <c r="B87" s="223"/>
      <c r="C87" s="224"/>
      <c r="D87" s="277"/>
      <c r="E87" s="267"/>
      <c r="F87" s="278"/>
      <c r="H87" s="276"/>
      <c r="I87" s="279"/>
    </row>
    <row r="88" spans="1:16">
      <c r="A88" s="238"/>
      <c r="B88" s="239"/>
      <c r="C88" s="280"/>
      <c r="D88" s="241"/>
      <c r="E88" s="213"/>
      <c r="F88" s="242"/>
      <c r="H88" s="276"/>
    </row>
    <row r="89" spans="1:16" s="214" customFormat="1" ht="13.5">
      <c r="A89" s="222"/>
      <c r="B89" s="243" t="s">
        <v>214</v>
      </c>
      <c r="D89" s="244"/>
      <c r="E89" s="245"/>
      <c r="F89" s="281">
        <f>SUM(F7:F87)</f>
        <v>0</v>
      </c>
      <c r="H89" s="276"/>
      <c r="N89" s="256"/>
    </row>
    <row r="90" spans="1:16">
      <c r="A90" s="282"/>
    </row>
  </sheetData>
  <sheetProtection algorithmName="SHA-512" hashValue="HG3+/c4ZENvK1LeMvCY1J1Z3CZcyw9GNEhJsHj+o0OfUjmRGOpOg/gzd/uSxRDJmdtPUq+Y1whmh6kOGUWVx1w==" saltValue="SyWxXbEokoOOmQJ/QDU0rQ=="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8">
    <tabColor rgb="FFFFFF00"/>
  </sheetPr>
  <dimension ref="A1:F120"/>
  <sheetViews>
    <sheetView view="pageBreakPreview" zoomScaleNormal="100" zoomScaleSheetLayoutView="100" workbookViewId="0">
      <selection activeCell="B23" sqref="B23"/>
    </sheetView>
  </sheetViews>
  <sheetFormatPr defaultColWidth="9.140625" defaultRowHeight="12.75"/>
  <cols>
    <col min="1" max="1" width="5.28515625" style="215" customWidth="1"/>
    <col min="2" max="2" width="46.85546875" style="215" customWidth="1"/>
    <col min="3" max="3" width="5.42578125" style="215" customWidth="1"/>
    <col min="4" max="4" width="8.85546875" style="248" customWidth="1"/>
    <col min="5" max="5" width="9.140625" style="248"/>
    <col min="6" max="6" width="11.5703125" style="248" customWidth="1"/>
    <col min="7" max="16384" width="9.140625" style="215"/>
  </cols>
  <sheetData>
    <row r="1" spans="1:6" s="214" customFormat="1">
      <c r="A1" s="207" t="s">
        <v>19</v>
      </c>
      <c r="B1" s="208" t="s">
        <v>22</v>
      </c>
      <c r="C1" s="253"/>
      <c r="D1" s="254"/>
      <c r="E1" s="254"/>
      <c r="F1" s="255"/>
    </row>
    <row r="2" spans="1:6" s="214" customFormat="1" ht="4.5" customHeight="1">
      <c r="A2" s="258"/>
      <c r="B2" s="258"/>
      <c r="C2" s="212"/>
      <c r="D2" s="213"/>
      <c r="E2" s="213"/>
      <c r="F2" s="213"/>
    </row>
    <row r="3" spans="1:6" s="214" customFormat="1" ht="27.75" customHeight="1">
      <c r="A3" s="216" t="s">
        <v>36</v>
      </c>
      <c r="B3" s="217" t="s">
        <v>0</v>
      </c>
      <c r="C3" s="284" t="s">
        <v>3</v>
      </c>
      <c r="D3" s="219" t="s">
        <v>1</v>
      </c>
      <c r="E3" s="220" t="s">
        <v>2</v>
      </c>
      <c r="F3" s="221" t="s">
        <v>163</v>
      </c>
    </row>
    <row r="4" spans="1:6" s="214" customFormat="1">
      <c r="A4" s="259"/>
      <c r="B4" s="260"/>
      <c r="C4" s="261"/>
      <c r="D4" s="262"/>
      <c r="E4" s="263"/>
      <c r="F4" s="262"/>
    </row>
    <row r="5" spans="1:6" s="214" customFormat="1" ht="120" customHeight="1">
      <c r="A5" s="222"/>
      <c r="B5" s="442" t="s">
        <v>355</v>
      </c>
      <c r="C5" s="442"/>
      <c r="D5" s="442"/>
      <c r="E5" s="442"/>
      <c r="F5" s="442"/>
    </row>
    <row r="6" spans="1:6" s="214" customFormat="1">
      <c r="A6" s="222"/>
      <c r="B6" s="285"/>
      <c r="C6" s="224"/>
      <c r="D6" s="236"/>
      <c r="E6" s="245"/>
      <c r="F6" s="245"/>
    </row>
    <row r="7" spans="1:6" s="214" customFormat="1" ht="25.5">
      <c r="A7" s="227">
        <f>MAX($A$5:A6)+1</f>
        <v>1</v>
      </c>
      <c r="B7" s="228" t="s">
        <v>260</v>
      </c>
      <c r="C7" s="229" t="s">
        <v>205</v>
      </c>
      <c r="D7" s="230">
        <f>254-16+90+7+9+6</f>
        <v>350</v>
      </c>
      <c r="E7" s="267"/>
      <c r="F7" s="231">
        <f>E7*D7</f>
        <v>0</v>
      </c>
    </row>
    <row r="8" spans="1:6">
      <c r="A8" s="286"/>
      <c r="B8" s="287"/>
      <c r="C8" s="288"/>
      <c r="D8" s="289"/>
      <c r="E8" s="267"/>
      <c r="F8" s="290"/>
    </row>
    <row r="9" spans="1:6" s="214" customFormat="1" ht="25.5">
      <c r="A9" s="227">
        <f>MAX($A$5:A8)+1</f>
        <v>2</v>
      </c>
      <c r="B9" s="228" t="s">
        <v>356</v>
      </c>
      <c r="C9" s="229" t="s">
        <v>4</v>
      </c>
      <c r="D9" s="230">
        <f>0.31*24+0.31*90+14.66</f>
        <v>50</v>
      </c>
      <c r="E9" s="267"/>
      <c r="F9" s="231">
        <f>E9*D9</f>
        <v>0</v>
      </c>
    </row>
    <row r="10" spans="1:6">
      <c r="A10" s="286"/>
      <c r="B10" s="287"/>
      <c r="C10" s="288"/>
      <c r="D10" s="289"/>
      <c r="E10" s="267"/>
      <c r="F10" s="290"/>
    </row>
    <row r="11" spans="1:6" ht="25.5">
      <c r="A11" s="227">
        <f>MAX($A$5:A10)+1</f>
        <v>3</v>
      </c>
      <c r="B11" s="291" t="s">
        <v>357</v>
      </c>
      <c r="C11" s="229" t="s">
        <v>4</v>
      </c>
      <c r="D11" s="230">
        <f>0.7*115+71.5*1.55+7.67+1</f>
        <v>199.99499999999998</v>
      </c>
      <c r="E11" s="267"/>
      <c r="F11" s="231">
        <f>E11*D11</f>
        <v>0</v>
      </c>
    </row>
    <row r="12" spans="1:6">
      <c r="A12" s="286"/>
      <c r="B12" s="287"/>
      <c r="C12" s="288"/>
      <c r="D12" s="289"/>
      <c r="E12" s="267"/>
      <c r="F12" s="290"/>
    </row>
    <row r="13" spans="1:6" ht="25.5">
      <c r="A13" s="227">
        <f>MAX($A$5:A12)+1</f>
        <v>4</v>
      </c>
      <c r="B13" s="291" t="s">
        <v>358</v>
      </c>
      <c r="C13" s="229" t="s">
        <v>204</v>
      </c>
      <c r="D13" s="230">
        <f>6.55+0.15</f>
        <v>6.7</v>
      </c>
      <c r="E13" s="267"/>
      <c r="F13" s="231">
        <f>E13*D13</f>
        <v>0</v>
      </c>
    </row>
    <row r="14" spans="1:6">
      <c r="A14" s="232"/>
      <c r="B14" s="291"/>
      <c r="C14" s="229"/>
      <c r="D14" s="230"/>
      <c r="E14" s="267"/>
      <c r="F14" s="231"/>
    </row>
    <row r="15" spans="1:6" ht="25.5">
      <c r="A15" s="227">
        <f>MAX($A$5:A14)+1</f>
        <v>5</v>
      </c>
      <c r="B15" s="291" t="s">
        <v>359</v>
      </c>
      <c r="C15" s="229" t="s">
        <v>204</v>
      </c>
      <c r="D15" s="230">
        <f>251.1-16.4+0.3</f>
        <v>235</v>
      </c>
      <c r="E15" s="267"/>
      <c r="F15" s="231">
        <f>E15*D15</f>
        <v>0</v>
      </c>
    </row>
    <row r="16" spans="1:6">
      <c r="A16" s="232"/>
      <c r="B16" s="291"/>
      <c r="C16" s="229"/>
      <c r="D16" s="230"/>
      <c r="E16" s="267"/>
      <c r="F16" s="231"/>
    </row>
    <row r="17" spans="1:6" ht="25.5">
      <c r="A17" s="227">
        <f>MAX($A$5:A16)+1</f>
        <v>6</v>
      </c>
      <c r="B17" s="291" t="s">
        <v>360</v>
      </c>
      <c r="C17" s="229" t="s">
        <v>204</v>
      </c>
      <c r="D17" s="230">
        <f>16.4*2+48*2+0.2+1</f>
        <v>130</v>
      </c>
      <c r="E17" s="267"/>
      <c r="F17" s="231">
        <f>E17*D17</f>
        <v>0</v>
      </c>
    </row>
    <row r="18" spans="1:6">
      <c r="A18" s="232"/>
      <c r="B18" s="291"/>
      <c r="C18" s="229"/>
      <c r="D18" s="230"/>
      <c r="E18" s="267"/>
      <c r="F18" s="231"/>
    </row>
    <row r="19" spans="1:6" ht="25.5">
      <c r="A19" s="227">
        <f>MAX($A$5:A18)+1</f>
        <v>7</v>
      </c>
      <c r="B19" s="291" t="s">
        <v>276</v>
      </c>
      <c r="C19" s="229" t="s">
        <v>4</v>
      </c>
      <c r="D19" s="230">
        <f>26.8*2+2*23.8+12.2*2.15+12.2*1.68+2.07</f>
        <v>149.99600000000001</v>
      </c>
      <c r="E19" s="267"/>
      <c r="F19" s="231">
        <f>E19*D19</f>
        <v>0</v>
      </c>
    </row>
    <row r="20" spans="1:6">
      <c r="A20" s="227"/>
      <c r="B20" s="291"/>
      <c r="C20" s="229"/>
      <c r="D20" s="230"/>
      <c r="E20" s="267"/>
      <c r="F20" s="231"/>
    </row>
    <row r="21" spans="1:6" ht="25.5">
      <c r="A21" s="227">
        <f>MAX($A$5:A20)+1</f>
        <v>8</v>
      </c>
      <c r="B21" s="291" t="s">
        <v>361</v>
      </c>
      <c r="C21" s="229" t="s">
        <v>204</v>
      </c>
      <c r="D21" s="230">
        <f>1.18*4+2.47*2*4+0.52</f>
        <v>25</v>
      </c>
      <c r="E21" s="267"/>
      <c r="F21" s="231">
        <f>E21*D21</f>
        <v>0</v>
      </c>
    </row>
    <row r="22" spans="1:6">
      <c r="A22" s="227"/>
      <c r="B22" s="291"/>
      <c r="C22" s="229"/>
      <c r="D22" s="230"/>
      <c r="E22" s="267"/>
      <c r="F22" s="231"/>
    </row>
    <row r="23" spans="1:6" s="214" customFormat="1" ht="51">
      <c r="A23" s="227">
        <f>MAX($A$5:A22)+1</f>
        <v>9</v>
      </c>
      <c r="B23" s="291" t="s">
        <v>381</v>
      </c>
      <c r="C23" s="229" t="s">
        <v>4</v>
      </c>
      <c r="D23" s="276">
        <f>1.95*1.65+0.08</f>
        <v>3.2974999999999999</v>
      </c>
      <c r="E23" s="267"/>
      <c r="F23" s="231">
        <f>E23*D23</f>
        <v>0</v>
      </c>
    </row>
    <row r="24" spans="1:6">
      <c r="A24" s="286"/>
      <c r="B24" s="292"/>
      <c r="C24" s="288"/>
      <c r="D24" s="230"/>
      <c r="E24" s="267"/>
      <c r="F24" s="231"/>
    </row>
    <row r="25" spans="1:6" ht="25.5">
      <c r="A25" s="227">
        <f>MAX($A$5:A24)+1</f>
        <v>10</v>
      </c>
      <c r="B25" s="291" t="s">
        <v>382</v>
      </c>
      <c r="C25" s="229" t="s">
        <v>204</v>
      </c>
      <c r="D25" s="230">
        <f>2.15*2+2.2*2+0.3</f>
        <v>9</v>
      </c>
      <c r="E25" s="267"/>
      <c r="F25" s="231">
        <f>E25*D25</f>
        <v>0</v>
      </c>
    </row>
    <row r="26" spans="1:6">
      <c r="A26" s="286"/>
      <c r="B26" s="292"/>
      <c r="C26" s="288"/>
      <c r="D26" s="230"/>
      <c r="E26" s="267"/>
      <c r="F26" s="231"/>
    </row>
    <row r="27" spans="1:6" s="214" customFormat="1" ht="25.5">
      <c r="A27" s="227">
        <f>MAX($A$5:A26)+1</f>
        <v>11</v>
      </c>
      <c r="B27" s="293" t="s">
        <v>363</v>
      </c>
      <c r="C27" s="229" t="s">
        <v>4</v>
      </c>
      <c r="D27" s="230">
        <f>3.32*229+32.5*4+3.32*89+7.8*2*3.32+0.25*3.32*2+127.4*3.32+3.4*37+19.05*2*3.4+4.7*2*3.4+1.52</f>
        <v>1951</v>
      </c>
      <c r="E27" s="267"/>
      <c r="F27" s="231">
        <f>E27*D27</f>
        <v>0</v>
      </c>
    </row>
    <row r="28" spans="1:6">
      <c r="A28" s="286"/>
      <c r="B28" s="292"/>
      <c r="C28" s="288"/>
      <c r="D28" s="230"/>
      <c r="E28" s="267"/>
      <c r="F28" s="231"/>
    </row>
    <row r="29" spans="1:6" s="214" customFormat="1" ht="25.5">
      <c r="A29" s="227">
        <f>MAX($A$5:A28)+1</f>
        <v>12</v>
      </c>
      <c r="B29" s="293" t="s">
        <v>362</v>
      </c>
      <c r="C29" s="229" t="s">
        <v>4</v>
      </c>
      <c r="D29" s="230">
        <f>60.3*11.95+319.4+326.2+11.95*70+2.31</f>
        <v>2204.9949999999999</v>
      </c>
      <c r="E29" s="267"/>
      <c r="F29" s="231">
        <f>E29*D29</f>
        <v>0</v>
      </c>
    </row>
    <row r="30" spans="1:6" s="214" customFormat="1">
      <c r="A30" s="227"/>
      <c r="B30" s="293"/>
      <c r="C30" s="229"/>
      <c r="D30" s="230"/>
      <c r="E30" s="267"/>
      <c r="F30" s="231"/>
    </row>
    <row r="31" spans="1:6" ht="25.5">
      <c r="A31" s="227">
        <f>MAX($A$5:A30)+1</f>
        <v>13</v>
      </c>
      <c r="B31" s="291" t="s">
        <v>364</v>
      </c>
      <c r="C31" s="229" t="s">
        <v>204</v>
      </c>
      <c r="D31" s="230">
        <f>17.91+18.03+17.91+17.91+18.03+17.91+6.28+11.41+6.2+7.4+7.4+7.4+6.6*2+7.2+17.91+18.03+17.91+11.46*2+12.63+2.6+2.9*3+(1.6+2.9*3)*2+1*2.5*2*2+1+2.5*2+0.51+1.6*4+0.6*4+0.2</f>
        <v>320.99999999999994</v>
      </c>
      <c r="E31" s="267"/>
      <c r="F31" s="231">
        <f>E31*D31</f>
        <v>0</v>
      </c>
    </row>
    <row r="32" spans="1:6">
      <c r="A32" s="286"/>
      <c r="B32" s="292"/>
      <c r="C32" s="288"/>
      <c r="D32" s="230"/>
      <c r="E32" s="267"/>
      <c r="F32" s="231"/>
    </row>
    <row r="33" spans="1:6" s="214" customFormat="1" ht="25.5">
      <c r="A33" s="227">
        <f>MAX($A$5:A32)+1</f>
        <v>14</v>
      </c>
      <c r="B33" s="293" t="s">
        <v>365</v>
      </c>
      <c r="C33" s="229" t="s">
        <v>4</v>
      </c>
      <c r="D33" s="230">
        <f>(0.25*2+0.6*2)*2.5*6+0.5</f>
        <v>26</v>
      </c>
      <c r="E33" s="267"/>
      <c r="F33" s="231">
        <f>E33*D33</f>
        <v>0</v>
      </c>
    </row>
    <row r="34" spans="1:6">
      <c r="A34" s="286"/>
      <c r="B34" s="292"/>
      <c r="C34" s="288"/>
      <c r="D34" s="230"/>
      <c r="E34" s="267"/>
      <c r="F34" s="231"/>
    </row>
    <row r="35" spans="1:6" s="214" customFormat="1" ht="25.5">
      <c r="A35" s="227">
        <f>MAX($A$5:A34)+1</f>
        <v>15</v>
      </c>
      <c r="B35" s="293" t="s">
        <v>366</v>
      </c>
      <c r="C35" s="229" t="s">
        <v>4</v>
      </c>
      <c r="D35" s="230">
        <f>2.5*4*0.2+3.4*(0.3*2+0.4*2+0.55+0.3+0.4+0.2+0.4+0.4+0.4+0.4+0.6+0.6+0.2+0.2+0.4+0.4+0.3+0.3+0.1*2+0.4+0.2+0.4+0.35+0.2+0.5+0.1+0.5+0.25+0.25+0.35+0.1+0.5+0.5+0.5+0.25*15)+0.9</f>
        <v>59</v>
      </c>
      <c r="E35" s="267"/>
      <c r="F35" s="231">
        <f>E35*D35</f>
        <v>0</v>
      </c>
    </row>
    <row r="36" spans="1:6" s="214" customFormat="1">
      <c r="A36" s="227"/>
      <c r="B36" s="293"/>
      <c r="C36" s="229"/>
      <c r="D36" s="230"/>
      <c r="E36" s="267"/>
      <c r="F36" s="231"/>
    </row>
    <row r="37" spans="1:6" s="214" customFormat="1" ht="25.5">
      <c r="A37" s="227">
        <f>MAX($A$5:A36)+1</f>
        <v>16</v>
      </c>
      <c r="B37" s="293" t="s">
        <v>370</v>
      </c>
      <c r="C37" s="229" t="s">
        <v>4</v>
      </c>
      <c r="D37" s="230">
        <f>0.25*5.7*3+0.72*15.7*6+0.2*15.7+0.22*15.7*2+5.15*0.25+0.22*5.15*2+(0.2*1+1.2*2*0.2)*12+1.14</f>
        <v>95.000499999999988</v>
      </c>
      <c r="E37" s="267"/>
      <c r="F37" s="231">
        <f>E37*D37</f>
        <v>0</v>
      </c>
    </row>
    <row r="38" spans="1:6" s="214" customFormat="1">
      <c r="A38" s="232"/>
      <c r="B38" s="293"/>
      <c r="C38" s="229"/>
      <c r="D38" s="230"/>
      <c r="E38" s="267"/>
      <c r="F38" s="231"/>
    </row>
    <row r="39" spans="1:6" s="214" customFormat="1" ht="51">
      <c r="A39" s="227">
        <f>MAX($A$5:A38)+1</f>
        <v>17</v>
      </c>
      <c r="B39" s="291" t="s">
        <v>367</v>
      </c>
      <c r="C39" s="229" t="s">
        <v>4</v>
      </c>
      <c r="D39" s="276">
        <f>951+203+201.6-13.2*2-13-24*0.25+0.8</f>
        <v>1310.9999999999998</v>
      </c>
      <c r="E39" s="267"/>
      <c r="F39" s="231">
        <f>E39*D39</f>
        <v>0</v>
      </c>
    </row>
    <row r="40" spans="1:6" s="214" customFormat="1">
      <c r="A40" s="232"/>
      <c r="B40" s="291"/>
      <c r="C40" s="229"/>
      <c r="D40" s="276"/>
      <c r="E40" s="267"/>
      <c r="F40" s="231"/>
    </row>
    <row r="41" spans="1:6" s="214" customFormat="1" ht="63.75">
      <c r="A41" s="227">
        <f>MAX($A$5:A40)+1</f>
        <v>18</v>
      </c>
      <c r="B41" s="291" t="s">
        <v>368</v>
      </c>
      <c r="C41" s="229" t="s">
        <v>4</v>
      </c>
      <c r="D41" s="276">
        <f>13.4*6.1+0.26</f>
        <v>82</v>
      </c>
      <c r="E41" s="267"/>
      <c r="F41" s="231">
        <f>E41*D41</f>
        <v>0</v>
      </c>
    </row>
    <row r="42" spans="1:6" s="214" customFormat="1">
      <c r="A42" s="232"/>
      <c r="B42" s="291"/>
      <c r="C42" s="229"/>
      <c r="D42" s="276"/>
      <c r="E42" s="267"/>
      <c r="F42" s="231"/>
    </row>
    <row r="43" spans="1:6" ht="25.5">
      <c r="A43" s="227">
        <f>MAX($A$5:A42)+1</f>
        <v>19</v>
      </c>
      <c r="B43" s="291" t="s">
        <v>369</v>
      </c>
      <c r="C43" s="229" t="s">
        <v>204</v>
      </c>
      <c r="D43" s="230">
        <f>157.5+4+6.6+13.4*2+1.1</f>
        <v>196</v>
      </c>
      <c r="E43" s="267"/>
      <c r="F43" s="231">
        <f>E43*D43</f>
        <v>0</v>
      </c>
    </row>
    <row r="44" spans="1:6" s="214" customFormat="1">
      <c r="A44" s="232"/>
      <c r="B44" s="291"/>
      <c r="C44" s="229"/>
      <c r="D44" s="276"/>
      <c r="E44" s="267"/>
      <c r="F44" s="231"/>
    </row>
    <row r="45" spans="1:6" ht="25.5">
      <c r="A45" s="227">
        <f>MAX($A$5:A44)+1</f>
        <v>20</v>
      </c>
      <c r="B45" s="291" t="s">
        <v>277</v>
      </c>
      <c r="C45" s="229" t="s">
        <v>4</v>
      </c>
      <c r="D45" s="230">
        <f>80.2+30.2+0.6</f>
        <v>111</v>
      </c>
      <c r="E45" s="267"/>
      <c r="F45" s="231">
        <f>E45*D45</f>
        <v>0</v>
      </c>
    </row>
    <row r="46" spans="1:6" s="214" customFormat="1">
      <c r="A46" s="232"/>
      <c r="B46" s="291"/>
      <c r="C46" s="229"/>
      <c r="D46" s="276"/>
      <c r="E46" s="267"/>
      <c r="F46" s="231"/>
    </row>
    <row r="47" spans="1:6" s="214" customFormat="1" ht="25.5">
      <c r="A47" s="227">
        <f>MAX($A$5:A46)+1</f>
        <v>21</v>
      </c>
      <c r="B47" s="293" t="s">
        <v>371</v>
      </c>
      <c r="C47" s="229" t="s">
        <v>4</v>
      </c>
      <c r="D47" s="230">
        <f>0.64*6.6*2+23.2+23.5+9.5*2+13.8*2+41.2+41.2+43.2*2+18.8*0.25+0.75</f>
        <v>275.99799999999999</v>
      </c>
      <c r="E47" s="267"/>
      <c r="F47" s="231">
        <f>E47*D47</f>
        <v>0</v>
      </c>
    </row>
    <row r="48" spans="1:6" s="298" customFormat="1">
      <c r="A48" s="294"/>
      <c r="B48" s="293"/>
      <c r="C48" s="295"/>
      <c r="D48" s="296"/>
      <c r="E48" s="267"/>
      <c r="F48" s="297"/>
    </row>
    <row r="49" spans="1:6" s="214" customFormat="1" ht="25.5">
      <c r="A49" s="227">
        <f>MAX($A$5:A48)+1</f>
        <v>22</v>
      </c>
      <c r="B49" s="293" t="s">
        <v>378</v>
      </c>
      <c r="C49" s="229" t="s">
        <v>4</v>
      </c>
      <c r="D49" s="230">
        <f>30.4+32.2+79.4+79.4+84.8*2+3.62*24*2+24.2*2+(2.4+1.05+0.8+0.4+0.4+3.15+8.8+3.25)*2*3.62+37.1*3.7*2+9.2*2*3.7*2-20*3.7+9.6*2*2*3.62+4.52</f>
        <v>1239.998</v>
      </c>
      <c r="E49" s="267"/>
      <c r="F49" s="231">
        <f>E49*D49</f>
        <v>0</v>
      </c>
    </row>
    <row r="50" spans="1:6" s="214" customFormat="1">
      <c r="A50" s="227"/>
      <c r="B50" s="293"/>
      <c r="C50" s="229"/>
      <c r="D50" s="230"/>
      <c r="E50" s="267"/>
      <c r="F50" s="231"/>
    </row>
    <row r="51" spans="1:6" ht="25.5">
      <c r="A51" s="227">
        <f>MAX($A$5:A50)+1</f>
        <v>23</v>
      </c>
      <c r="B51" s="291" t="s">
        <v>372</v>
      </c>
      <c r="C51" s="229" t="s">
        <v>204</v>
      </c>
      <c r="D51" s="230">
        <f>12+12.15+12.1+2.8+2.8+4.1+6.4+10.8+8.8+6.2+5.3+4.9+1.6+3.2*2+3.65</f>
        <v>100</v>
      </c>
      <c r="E51" s="267"/>
      <c r="F51" s="231">
        <f>E51*D51</f>
        <v>0</v>
      </c>
    </row>
    <row r="52" spans="1:6" s="298" customFormat="1">
      <c r="A52" s="294"/>
      <c r="B52" s="293"/>
      <c r="C52" s="295"/>
      <c r="D52" s="296"/>
      <c r="E52" s="267"/>
      <c r="F52" s="297"/>
    </row>
    <row r="53" spans="1:6" s="214" customFormat="1" ht="25.5">
      <c r="A53" s="227">
        <f>MAX($A$5:A52)+1</f>
        <v>24</v>
      </c>
      <c r="B53" s="293" t="s">
        <v>373</v>
      </c>
      <c r="C53" s="229" t="s">
        <v>4</v>
      </c>
      <c r="D53" s="230">
        <f>3.7*(0.2*18)+0.2*2*3+0.3*2+0.72*2*3+0.4*2*3+0.18*2*3+2.08</f>
        <v>24.999999999999993</v>
      </c>
      <c r="E53" s="267"/>
      <c r="F53" s="231">
        <f>E53*D53</f>
        <v>0</v>
      </c>
    </row>
    <row r="54" spans="1:6" s="298" customFormat="1">
      <c r="A54" s="294"/>
      <c r="B54" s="293"/>
      <c r="C54" s="295"/>
      <c r="D54" s="296"/>
      <c r="E54" s="267"/>
      <c r="F54" s="297"/>
    </row>
    <row r="55" spans="1:6" s="214" customFormat="1" ht="25.5">
      <c r="A55" s="227">
        <f>MAX($A$5:A54)+1</f>
        <v>25</v>
      </c>
      <c r="B55" s="293" t="s">
        <v>374</v>
      </c>
      <c r="C55" s="229" t="s">
        <v>4</v>
      </c>
      <c r="D55" s="230">
        <f>0.42*2*15.9+0.25*15.9+8.75*0.42*2+0.25*8.75+4.7*0.42*2+4.7*0.25+5*0.42*2+5*0.25*2+1.31</f>
        <v>40.0015</v>
      </c>
      <c r="E55" s="267"/>
      <c r="F55" s="231">
        <f>E55*D55</f>
        <v>0</v>
      </c>
    </row>
    <row r="56" spans="1:6" s="298" customFormat="1">
      <c r="A56" s="294"/>
      <c r="B56" s="293"/>
      <c r="C56" s="295"/>
      <c r="D56" s="296"/>
      <c r="E56" s="267"/>
      <c r="F56" s="297"/>
    </row>
    <row r="57" spans="1:6" s="214" customFormat="1" ht="51">
      <c r="A57" s="227">
        <f>MAX($A$5:A56)+1</f>
        <v>26</v>
      </c>
      <c r="B57" s="291" t="s">
        <v>375</v>
      </c>
      <c r="C57" s="229" t="s">
        <v>4</v>
      </c>
      <c r="D57" s="276">
        <f>503.5+28.1+89.5+0.9+8</f>
        <v>630</v>
      </c>
      <c r="E57" s="267"/>
      <c r="F57" s="231">
        <f>E57*D57</f>
        <v>0</v>
      </c>
    </row>
    <row r="58" spans="1:6" s="214" customFormat="1">
      <c r="A58" s="232"/>
      <c r="B58" s="291"/>
      <c r="C58" s="229"/>
      <c r="D58" s="276"/>
      <c r="E58" s="267"/>
      <c r="F58" s="231"/>
    </row>
    <row r="59" spans="1:6" ht="25.5">
      <c r="A59" s="227">
        <f>MAX($A$5:A58)+1</f>
        <v>27</v>
      </c>
      <c r="B59" s="291" t="s">
        <v>376</v>
      </c>
      <c r="C59" s="229" t="s">
        <v>204</v>
      </c>
      <c r="D59" s="230">
        <f>180.5+0.5+6</f>
        <v>187</v>
      </c>
      <c r="E59" s="267"/>
      <c r="F59" s="231">
        <f>E59*D59</f>
        <v>0</v>
      </c>
    </row>
    <row r="60" spans="1:6" s="298" customFormat="1">
      <c r="A60" s="294"/>
      <c r="B60" s="293"/>
      <c r="C60" s="295"/>
      <c r="D60" s="296"/>
      <c r="E60" s="267"/>
      <c r="F60" s="297"/>
    </row>
    <row r="61" spans="1:6" s="214" customFormat="1" ht="25.5">
      <c r="A61" s="227">
        <f>MAX($A$5:A60)+1</f>
        <v>28</v>
      </c>
      <c r="B61" s="293" t="s">
        <v>377</v>
      </c>
      <c r="C61" s="229" t="s">
        <v>4</v>
      </c>
      <c r="D61" s="230">
        <f>30.4+32.2+(81.4+86.6)*2+9.61*4*3.62+0.25*3.62*2+3.25*2*3.62+0.25*3.62*2+3.15*3.62*2+0.25*3.62+24*3.62*2+2.4*3.62*2+3.62*8.8*2+4.9*3.7*2*2+(4.2*3.7*0.5*3.7)*2+33.6*3.7-3.7*19+2.5</f>
        <v>1029.9997999999998</v>
      </c>
      <c r="E61" s="267"/>
      <c r="F61" s="231">
        <f>E61*D61</f>
        <v>0</v>
      </c>
    </row>
    <row r="62" spans="1:6" s="298" customFormat="1">
      <c r="A62" s="294"/>
      <c r="B62" s="293"/>
      <c r="C62" s="295"/>
      <c r="D62" s="296"/>
      <c r="E62" s="267"/>
      <c r="F62" s="297"/>
    </row>
    <row r="63" spans="1:6" ht="25.5">
      <c r="A63" s="227">
        <f>MAX($A$5:A62)+1</f>
        <v>29</v>
      </c>
      <c r="B63" s="291" t="s">
        <v>372</v>
      </c>
      <c r="C63" s="229" t="s">
        <v>204</v>
      </c>
      <c r="D63" s="230">
        <f>12+12.15+12.1+8.8*2+9.7+10.8+6.4+8.8+5.3+6.5+6.3+1.6*2+3.2*4*2+1.55</f>
        <v>138</v>
      </c>
      <c r="E63" s="267"/>
      <c r="F63" s="231">
        <f>E63*D63</f>
        <v>0</v>
      </c>
    </row>
    <row r="64" spans="1:6" s="298" customFormat="1">
      <c r="A64" s="294"/>
      <c r="B64" s="293"/>
      <c r="C64" s="295"/>
      <c r="D64" s="296"/>
      <c r="E64" s="267"/>
      <c r="F64" s="297"/>
    </row>
    <row r="65" spans="1:6" s="214" customFormat="1" ht="25.5">
      <c r="A65" s="227">
        <f>MAX($A$5:A64)+1</f>
        <v>30</v>
      </c>
      <c r="B65" s="293" t="s">
        <v>374</v>
      </c>
      <c r="C65" s="229" t="s">
        <v>4</v>
      </c>
      <c r="D65" s="230">
        <f>4.7*0.42*2+0.25*4.72+8.75*0.42*2+0.25*8.75+4.85*0.25+4.85*0.42*2+11.4*0.25+11.4*0.42*2+2.62</f>
        <v>34.997999999999998</v>
      </c>
      <c r="E65" s="267"/>
      <c r="F65" s="231">
        <f>E65*D65</f>
        <v>0</v>
      </c>
    </row>
    <row r="66" spans="1:6" s="298" customFormat="1">
      <c r="A66" s="294"/>
      <c r="B66" s="293"/>
      <c r="C66" s="295"/>
      <c r="D66" s="296"/>
      <c r="E66" s="267"/>
      <c r="F66" s="297"/>
    </row>
    <row r="67" spans="1:6" s="214" customFormat="1" ht="51">
      <c r="A67" s="227">
        <f>MAX($A$5:A66)+1</f>
        <v>31</v>
      </c>
      <c r="B67" s="291" t="s">
        <v>379</v>
      </c>
      <c r="C67" s="229" t="s">
        <v>4</v>
      </c>
      <c r="D67" s="230">
        <f>389.4+22.6*2+1.4</f>
        <v>435.99999999999994</v>
      </c>
      <c r="E67" s="267"/>
      <c r="F67" s="231">
        <f>E67*D67</f>
        <v>0</v>
      </c>
    </row>
    <row r="68" spans="1:6" s="214" customFormat="1">
      <c r="A68" s="232"/>
      <c r="B68" s="299"/>
      <c r="C68" s="229"/>
      <c r="D68" s="230"/>
      <c r="E68" s="267"/>
      <c r="F68" s="300"/>
    </row>
    <row r="69" spans="1:6" ht="25.5">
      <c r="A69" s="227">
        <f>MAX($A$5:A68)+1</f>
        <v>32</v>
      </c>
      <c r="B69" s="291" t="s">
        <v>376</v>
      </c>
      <c r="C69" s="229" t="s">
        <v>204</v>
      </c>
      <c r="D69" s="230">
        <f>103.8+21+1.2</f>
        <v>126</v>
      </c>
      <c r="E69" s="267"/>
      <c r="F69" s="231">
        <f>E69*D69</f>
        <v>0</v>
      </c>
    </row>
    <row r="70" spans="1:6" s="214" customFormat="1">
      <c r="A70" s="232"/>
      <c r="B70" s="299"/>
      <c r="C70" s="229"/>
      <c r="D70" s="230"/>
      <c r="E70" s="267"/>
      <c r="F70" s="300"/>
    </row>
    <row r="71" spans="1:6" s="214" customFormat="1" ht="25.5">
      <c r="A71" s="227">
        <f>MAX($A$5:A70)+1</f>
        <v>33</v>
      </c>
      <c r="B71" s="293" t="s">
        <v>380</v>
      </c>
      <c r="C71" s="229" t="s">
        <v>4</v>
      </c>
      <c r="D71" s="230">
        <f>48.7+49+0.2*24*2+22.86*0.2*2+9.65*1.5*2+0.25*1.5+1.35*2*4.1+4.1*2*3.75+27.9*2+49*2+2.61</f>
        <v>343.99900000000002</v>
      </c>
      <c r="E71" s="267"/>
      <c r="F71" s="231">
        <f>E71*D71</f>
        <v>0</v>
      </c>
    </row>
    <row r="72" spans="1:6" s="214" customFormat="1">
      <c r="A72" s="227"/>
      <c r="B72" s="293"/>
      <c r="C72" s="229"/>
      <c r="D72" s="230"/>
      <c r="E72" s="267"/>
      <c r="F72" s="231"/>
    </row>
    <row r="73" spans="1:6" ht="25.5">
      <c r="A73" s="227">
        <f>MAX($A$5:A72)+1</f>
        <v>34</v>
      </c>
      <c r="B73" s="291" t="s">
        <v>372</v>
      </c>
      <c r="C73" s="229" t="s">
        <v>204</v>
      </c>
      <c r="D73" s="230">
        <f>1.2*4+0.9*4+1.3*2+0.6+1.8+2.45+2.45+7.7+9.7+11.3+10.3+5.31+1.39</f>
        <v>64</v>
      </c>
      <c r="E73" s="267"/>
      <c r="F73" s="231">
        <f>E73*D73</f>
        <v>0</v>
      </c>
    </row>
    <row r="74" spans="1:6" s="214" customFormat="1">
      <c r="A74" s="232"/>
      <c r="B74" s="299"/>
      <c r="C74" s="229"/>
      <c r="D74" s="230"/>
      <c r="E74" s="267"/>
      <c r="F74" s="300"/>
    </row>
    <row r="75" spans="1:6" s="214" customFormat="1" ht="25.5">
      <c r="A75" s="227">
        <f>MAX($A$5:A74)+1</f>
        <v>35</v>
      </c>
      <c r="B75" s="291" t="s">
        <v>383</v>
      </c>
      <c r="C75" s="229"/>
      <c r="D75" s="276"/>
      <c r="E75" s="267"/>
      <c r="F75" s="231"/>
    </row>
    <row r="76" spans="1:6" s="214" customFormat="1">
      <c r="A76" s="232" t="s">
        <v>586</v>
      </c>
      <c r="B76" s="299" t="s">
        <v>244</v>
      </c>
      <c r="C76" s="229" t="s">
        <v>229</v>
      </c>
      <c r="D76" s="276">
        <f>2.4*2+0.2</f>
        <v>5</v>
      </c>
      <c r="E76" s="267"/>
      <c r="F76" s="231">
        <f>E76*D76</f>
        <v>0</v>
      </c>
    </row>
    <row r="77" spans="1:6" s="214" customFormat="1">
      <c r="A77" s="232" t="s">
        <v>587</v>
      </c>
      <c r="B77" s="228" t="s">
        <v>243</v>
      </c>
      <c r="C77" s="229" t="s">
        <v>229</v>
      </c>
      <c r="D77" s="276">
        <f>25*0.15*1.8*2+0.35*1.8*2+0.24</f>
        <v>15</v>
      </c>
      <c r="E77" s="267"/>
      <c r="F77" s="231">
        <f>E77*D77</f>
        <v>0</v>
      </c>
    </row>
    <row r="78" spans="1:6" s="214" customFormat="1">
      <c r="A78" s="232" t="s">
        <v>588</v>
      </c>
      <c r="B78" s="228" t="s">
        <v>250</v>
      </c>
      <c r="C78" s="229" t="s">
        <v>229</v>
      </c>
      <c r="D78" s="276">
        <f>9.65*1.8*2+0.26</f>
        <v>35</v>
      </c>
      <c r="E78" s="267"/>
      <c r="F78" s="231">
        <f>E78*D78</f>
        <v>0</v>
      </c>
    </row>
    <row r="79" spans="1:6" s="214" customFormat="1">
      <c r="A79" s="232"/>
      <c r="B79" s="228"/>
      <c r="C79" s="229"/>
      <c r="D79" s="276"/>
      <c r="E79" s="267"/>
      <c r="F79" s="231"/>
    </row>
    <row r="80" spans="1:6" s="214" customFormat="1" ht="25.5">
      <c r="A80" s="227">
        <f>MAX($A$5:A79)+1</f>
        <v>36</v>
      </c>
      <c r="B80" s="291" t="s">
        <v>384</v>
      </c>
      <c r="C80" s="229"/>
      <c r="D80" s="276"/>
      <c r="E80" s="267"/>
      <c r="F80" s="231"/>
    </row>
    <row r="81" spans="1:6" s="214" customFormat="1">
      <c r="A81" s="232" t="s">
        <v>586</v>
      </c>
      <c r="B81" s="299" t="s">
        <v>244</v>
      </c>
      <c r="C81" s="229" t="s">
        <v>229</v>
      </c>
      <c r="D81" s="276">
        <f>0.82*2+0.6*6*2+1.16</f>
        <v>10</v>
      </c>
      <c r="E81" s="267"/>
      <c r="F81" s="231">
        <f>E81*D81</f>
        <v>0</v>
      </c>
    </row>
    <row r="82" spans="1:6" s="214" customFormat="1">
      <c r="A82" s="232" t="s">
        <v>587</v>
      </c>
      <c r="B82" s="228" t="s">
        <v>243</v>
      </c>
      <c r="C82" s="229" t="s">
        <v>229</v>
      </c>
      <c r="D82" s="276">
        <f>0.163*8*1.2*6*2+1.22</f>
        <v>19.997599999999998</v>
      </c>
      <c r="E82" s="267"/>
      <c r="F82" s="231">
        <f>E82*D82</f>
        <v>0</v>
      </c>
    </row>
    <row r="83" spans="1:6" s="214" customFormat="1">
      <c r="A83" s="232" t="s">
        <v>588</v>
      </c>
      <c r="B83" s="228" t="s">
        <v>250</v>
      </c>
      <c r="C83" s="229" t="s">
        <v>229</v>
      </c>
      <c r="D83" s="276">
        <f>1.2*2.7*6*2+1.2*2.4*6*2+1.56</f>
        <v>75</v>
      </c>
      <c r="E83" s="267"/>
      <c r="F83" s="231">
        <f>E83*D83</f>
        <v>0</v>
      </c>
    </row>
    <row r="84" spans="1:6" s="214" customFormat="1">
      <c r="A84" s="232"/>
      <c r="B84" s="228"/>
      <c r="C84" s="229"/>
      <c r="D84" s="276"/>
      <c r="E84" s="267"/>
      <c r="F84" s="231"/>
    </row>
    <row r="85" spans="1:6" s="214" customFormat="1" ht="25.5">
      <c r="A85" s="227">
        <f>MAX($A$5:A84)+1</f>
        <v>37</v>
      </c>
      <c r="B85" s="291" t="s">
        <v>385</v>
      </c>
      <c r="C85" s="229"/>
      <c r="D85" s="276"/>
      <c r="E85" s="267"/>
      <c r="F85" s="231"/>
    </row>
    <row r="86" spans="1:6" s="214" customFormat="1">
      <c r="A86" s="232" t="s">
        <v>586</v>
      </c>
      <c r="B86" s="228" t="s">
        <v>243</v>
      </c>
      <c r="C86" s="229" t="s">
        <v>229</v>
      </c>
      <c r="D86" s="276">
        <f>0.162*11*2.37+0.78</f>
        <v>5.0033400000000006</v>
      </c>
      <c r="E86" s="267"/>
      <c r="F86" s="231">
        <f>E86*D86</f>
        <v>0</v>
      </c>
    </row>
    <row r="87" spans="1:6" s="214" customFormat="1">
      <c r="A87" s="232" t="s">
        <v>587</v>
      </c>
      <c r="B87" s="228" t="s">
        <v>250</v>
      </c>
      <c r="C87" s="229" t="s">
        <v>229</v>
      </c>
      <c r="D87" s="276">
        <f>2.37*2.5+0.07</f>
        <v>5.995000000000001</v>
      </c>
      <c r="E87" s="267"/>
      <c r="F87" s="231">
        <f>E87*D87</f>
        <v>0</v>
      </c>
    </row>
    <row r="88" spans="1:6" s="214" customFormat="1">
      <c r="A88" s="232"/>
      <c r="B88" s="228"/>
      <c r="C88" s="229"/>
      <c r="D88" s="276"/>
      <c r="E88" s="267"/>
      <c r="F88" s="231"/>
    </row>
    <row r="89" spans="1:6" s="214" customFormat="1">
      <c r="A89" s="227">
        <f>MAX($A$5:A88)+1</f>
        <v>38</v>
      </c>
      <c r="B89" s="291" t="s">
        <v>386</v>
      </c>
      <c r="C89" s="229"/>
      <c r="D89" s="276"/>
      <c r="E89" s="267"/>
      <c r="F89" s="231"/>
    </row>
    <row r="90" spans="1:6" s="214" customFormat="1">
      <c r="A90" s="232" t="s">
        <v>586</v>
      </c>
      <c r="B90" s="228" t="s">
        <v>387</v>
      </c>
      <c r="C90" s="229" t="s">
        <v>229</v>
      </c>
      <c r="D90" s="276">
        <f>2.07*4+0.4*0.25*4+0.32</f>
        <v>9</v>
      </c>
      <c r="E90" s="267"/>
      <c r="F90" s="231">
        <f>E90*D90</f>
        <v>0</v>
      </c>
    </row>
    <row r="91" spans="1:6" s="214" customFormat="1">
      <c r="A91" s="232" t="s">
        <v>587</v>
      </c>
      <c r="B91" s="228" t="s">
        <v>243</v>
      </c>
      <c r="C91" s="229" t="s">
        <v>229</v>
      </c>
      <c r="D91" s="276">
        <f>0.134*0.82*2*5+0.82*2*0.333+0.4*0.82*2+0.2</f>
        <v>2.5009200000000003</v>
      </c>
      <c r="E91" s="267"/>
      <c r="F91" s="231">
        <f>E91*D91</f>
        <v>0</v>
      </c>
    </row>
    <row r="92" spans="1:6" s="214" customFormat="1">
      <c r="A92" s="232" t="s">
        <v>588</v>
      </c>
      <c r="B92" s="228" t="s">
        <v>250</v>
      </c>
      <c r="C92" s="229" t="s">
        <v>229</v>
      </c>
      <c r="D92" s="276">
        <f>3.12*0.82*2+0.38</f>
        <v>5.4967999999999995</v>
      </c>
      <c r="E92" s="267"/>
      <c r="F92" s="231">
        <f>E92*D92</f>
        <v>0</v>
      </c>
    </row>
    <row r="93" spans="1:6" s="214" customFormat="1">
      <c r="A93" s="232" t="s">
        <v>589</v>
      </c>
      <c r="B93" s="299" t="s">
        <v>244</v>
      </c>
      <c r="C93" s="229" t="s">
        <v>229</v>
      </c>
      <c r="D93" s="276">
        <f>0.74*2+0.12</f>
        <v>1.6</v>
      </c>
      <c r="E93" s="267"/>
      <c r="F93" s="231">
        <f>E93*D93</f>
        <v>0</v>
      </c>
    </row>
    <row r="94" spans="1:6" s="214" customFormat="1">
      <c r="A94" s="232"/>
      <c r="B94" s="299"/>
      <c r="C94" s="229"/>
      <c r="D94" s="276"/>
      <c r="E94" s="267"/>
      <c r="F94" s="231"/>
    </row>
    <row r="95" spans="1:6" s="214" customFormat="1" ht="51">
      <c r="A95" s="227">
        <f>MAX($A$5:A94)+1</f>
        <v>39</v>
      </c>
      <c r="B95" s="299" t="s">
        <v>757</v>
      </c>
      <c r="C95" s="229"/>
      <c r="D95" s="276"/>
      <c r="E95" s="267"/>
      <c r="F95" s="231"/>
    </row>
    <row r="96" spans="1:6" s="214" customFormat="1">
      <c r="A96" s="232" t="s">
        <v>586</v>
      </c>
      <c r="B96" s="299" t="s">
        <v>754</v>
      </c>
      <c r="C96" s="229" t="s">
        <v>175</v>
      </c>
      <c r="D96" s="276">
        <v>8</v>
      </c>
      <c r="E96" s="267"/>
      <c r="F96" s="231">
        <f t="shared" ref="F96:F107" si="0">E96*D96</f>
        <v>0</v>
      </c>
    </row>
    <row r="97" spans="1:6" s="214" customFormat="1">
      <c r="A97" s="232" t="s">
        <v>587</v>
      </c>
      <c r="B97" s="299" t="s">
        <v>755</v>
      </c>
      <c r="C97" s="229" t="s">
        <v>175</v>
      </c>
      <c r="D97" s="276">
        <v>19</v>
      </c>
      <c r="E97" s="267"/>
      <c r="F97" s="231">
        <f t="shared" si="0"/>
        <v>0</v>
      </c>
    </row>
    <row r="98" spans="1:6" s="214" customFormat="1">
      <c r="A98" s="232" t="s">
        <v>588</v>
      </c>
      <c r="B98" s="299" t="s">
        <v>758</v>
      </c>
      <c r="C98" s="229" t="s">
        <v>175</v>
      </c>
      <c r="D98" s="276">
        <v>7</v>
      </c>
      <c r="E98" s="267"/>
      <c r="F98" s="231">
        <f t="shared" si="0"/>
        <v>0</v>
      </c>
    </row>
    <row r="99" spans="1:6" s="214" customFormat="1">
      <c r="A99" s="232" t="s">
        <v>589</v>
      </c>
      <c r="B99" s="299" t="s">
        <v>756</v>
      </c>
      <c r="C99" s="229" t="s">
        <v>175</v>
      </c>
      <c r="D99" s="276">
        <v>2</v>
      </c>
      <c r="E99" s="267"/>
      <c r="F99" s="231">
        <f t="shared" si="0"/>
        <v>0</v>
      </c>
    </row>
    <row r="100" spans="1:6" s="214" customFormat="1">
      <c r="A100" s="227" t="s">
        <v>636</v>
      </c>
      <c r="B100" s="299" t="s">
        <v>762</v>
      </c>
      <c r="C100" s="229" t="s">
        <v>175</v>
      </c>
      <c r="D100" s="276">
        <v>2</v>
      </c>
      <c r="E100" s="267"/>
      <c r="F100" s="231">
        <f t="shared" si="0"/>
        <v>0</v>
      </c>
    </row>
    <row r="101" spans="1:6" s="214" customFormat="1">
      <c r="A101" s="227" t="s">
        <v>637</v>
      </c>
      <c r="B101" s="299" t="s">
        <v>761</v>
      </c>
      <c r="C101" s="229" t="s">
        <v>175</v>
      </c>
      <c r="D101" s="276">
        <v>4</v>
      </c>
      <c r="E101" s="267"/>
      <c r="F101" s="231">
        <f t="shared" si="0"/>
        <v>0</v>
      </c>
    </row>
    <row r="102" spans="1:6" s="214" customFormat="1">
      <c r="A102" s="227" t="s">
        <v>638</v>
      </c>
      <c r="B102" s="299" t="s">
        <v>760</v>
      </c>
      <c r="C102" s="229" t="s">
        <v>175</v>
      </c>
      <c r="D102" s="276">
        <v>7</v>
      </c>
      <c r="E102" s="267"/>
      <c r="F102" s="231">
        <f t="shared" si="0"/>
        <v>0</v>
      </c>
    </row>
    <row r="103" spans="1:6" s="214" customFormat="1">
      <c r="A103" s="227" t="s">
        <v>665</v>
      </c>
      <c r="B103" s="299" t="s">
        <v>759</v>
      </c>
      <c r="C103" s="229" t="s">
        <v>175</v>
      </c>
      <c r="D103" s="276">
        <v>1</v>
      </c>
      <c r="E103" s="267"/>
      <c r="F103" s="231">
        <f t="shared" si="0"/>
        <v>0</v>
      </c>
    </row>
    <row r="104" spans="1:6" s="214" customFormat="1">
      <c r="A104" s="227" t="s">
        <v>664</v>
      </c>
      <c r="B104" s="299" t="s">
        <v>763</v>
      </c>
      <c r="C104" s="229" t="s">
        <v>175</v>
      </c>
      <c r="D104" s="276">
        <v>2</v>
      </c>
      <c r="E104" s="267"/>
      <c r="F104" s="231">
        <f t="shared" si="0"/>
        <v>0</v>
      </c>
    </row>
    <row r="105" spans="1:6" s="214" customFormat="1">
      <c r="A105" s="227" t="s">
        <v>666</v>
      </c>
      <c r="B105" s="299" t="s">
        <v>764</v>
      </c>
      <c r="C105" s="229" t="s">
        <v>175</v>
      </c>
      <c r="D105" s="276">
        <v>6</v>
      </c>
      <c r="E105" s="267"/>
      <c r="F105" s="231">
        <f t="shared" si="0"/>
        <v>0</v>
      </c>
    </row>
    <row r="106" spans="1:6" s="214" customFormat="1">
      <c r="A106" s="227" t="s">
        <v>667</v>
      </c>
      <c r="B106" s="299" t="s">
        <v>765</v>
      </c>
      <c r="C106" s="229" t="s">
        <v>175</v>
      </c>
      <c r="D106" s="276">
        <v>6</v>
      </c>
      <c r="E106" s="267"/>
      <c r="F106" s="231">
        <f t="shared" si="0"/>
        <v>0</v>
      </c>
    </row>
    <row r="107" spans="1:6" s="214" customFormat="1">
      <c r="A107" s="227" t="s">
        <v>663</v>
      </c>
      <c r="B107" s="299" t="s">
        <v>766</v>
      </c>
      <c r="C107" s="229" t="s">
        <v>175</v>
      </c>
      <c r="D107" s="276">
        <v>6</v>
      </c>
      <c r="E107" s="267"/>
      <c r="F107" s="231">
        <f t="shared" si="0"/>
        <v>0</v>
      </c>
    </row>
    <row r="108" spans="1:6" s="214" customFormat="1">
      <c r="A108" s="232"/>
      <c r="B108" s="299"/>
      <c r="C108" s="229"/>
      <c r="D108" s="276"/>
      <c r="E108" s="267"/>
      <c r="F108" s="231"/>
    </row>
    <row r="109" spans="1:6" s="214" customFormat="1" ht="38.25">
      <c r="A109" s="227">
        <f>MAX($A$5:A108)+1</f>
        <v>40</v>
      </c>
      <c r="B109" s="291" t="s">
        <v>429</v>
      </c>
      <c r="C109" s="229" t="s">
        <v>229</v>
      </c>
      <c r="D109" s="276">
        <f>0.65*6+5.6*2.7*3+5.6*3*3.1+5.6*3*3.18+0.24</f>
        <v>155.00399999999999</v>
      </c>
      <c r="E109" s="267"/>
      <c r="F109" s="231">
        <f>E109*D109</f>
        <v>0</v>
      </c>
    </row>
    <row r="110" spans="1:6" s="214" customFormat="1">
      <c r="A110" s="232"/>
      <c r="B110" s="299"/>
      <c r="C110" s="229"/>
      <c r="D110" s="230"/>
      <c r="E110" s="267"/>
      <c r="F110" s="231"/>
    </row>
    <row r="111" spans="1:6" s="214" customFormat="1" ht="38.25">
      <c r="A111" s="227">
        <f>MAX($A$5:A110)+1</f>
        <v>41</v>
      </c>
      <c r="B111" s="228" t="s">
        <v>256</v>
      </c>
      <c r="C111" s="229" t="s">
        <v>4</v>
      </c>
      <c r="D111" s="230">
        <f>1873-582.1+602+107.5+456+79.5+4*14+0.1</f>
        <v>2592</v>
      </c>
      <c r="E111" s="267"/>
      <c r="F111" s="231">
        <f>E111*D111</f>
        <v>0</v>
      </c>
    </row>
    <row r="112" spans="1:6" s="214" customFormat="1">
      <c r="A112" s="227"/>
      <c r="B112" s="228"/>
      <c r="C112" s="229"/>
      <c r="D112" s="230"/>
      <c r="E112" s="267"/>
      <c r="F112" s="231"/>
    </row>
    <row r="113" spans="1:6" s="214" customFormat="1" ht="38.25">
      <c r="A113" s="227">
        <f>MAX($A$5:A112)+1</f>
        <v>42</v>
      </c>
      <c r="B113" s="228" t="s">
        <v>388</v>
      </c>
      <c r="C113" s="229" t="s">
        <v>4</v>
      </c>
      <c r="D113" s="230">
        <v>582.1</v>
      </c>
      <c r="E113" s="267"/>
      <c r="F113" s="231">
        <f>E113*D113</f>
        <v>0</v>
      </c>
    </row>
    <row r="114" spans="1:6">
      <c r="A114" s="282"/>
      <c r="B114" s="301"/>
      <c r="C114" s="302"/>
      <c r="D114" s="303"/>
      <c r="E114" s="304"/>
      <c r="F114" s="305"/>
    </row>
    <row r="115" spans="1:6" s="214" customFormat="1">
      <c r="A115" s="238"/>
      <c r="B115" s="239"/>
      <c r="C115" s="306"/>
      <c r="D115" s="225"/>
      <c r="E115" s="267"/>
      <c r="F115" s="278"/>
    </row>
    <row r="116" spans="1:6" s="214" customFormat="1">
      <c r="A116" s="222"/>
      <c r="B116" s="243" t="s">
        <v>215</v>
      </c>
      <c r="D116" s="244"/>
      <c r="E116" s="245"/>
      <c r="F116" s="246">
        <f>SUM(F7:F114)</f>
        <v>0</v>
      </c>
    </row>
    <row r="118" spans="1:6">
      <c r="B118" s="307"/>
    </row>
    <row r="119" spans="1:6">
      <c r="B119" s="247"/>
    </row>
    <row r="120" spans="1:6" s="314" customFormat="1">
      <c r="A120" s="308"/>
      <c r="B120" s="309"/>
      <c r="C120" s="310"/>
      <c r="D120" s="311"/>
      <c r="E120" s="312"/>
      <c r="F120" s="313"/>
    </row>
  </sheetData>
  <sheetProtection algorithmName="SHA-512" hashValue="+LFwCdE1HAPgU81w9dl1HwzVecToUmy/NF2fzh4j384SrEQG6IKhwLxE/patBd7Ue7gljM4bt67ul/aRmAciww==" saltValue="iVjVCEsxyTibR3wJBBMSBw=="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9">
    <tabColor rgb="FFFFFF00"/>
  </sheetPr>
  <dimension ref="A1:H118"/>
  <sheetViews>
    <sheetView tabSelected="1" view="pageBreakPreview" topLeftCell="A94" zoomScaleNormal="100" zoomScaleSheetLayoutView="100" workbookViewId="0">
      <selection activeCell="I110" sqref="I110"/>
    </sheetView>
  </sheetViews>
  <sheetFormatPr defaultColWidth="9.140625" defaultRowHeight="12.75"/>
  <cols>
    <col min="1" max="1" width="4.28515625" style="215" customWidth="1"/>
    <col min="2" max="2" width="46.85546875" style="215" customWidth="1"/>
    <col min="3" max="3" width="6.140625" style="215" customWidth="1"/>
    <col min="4" max="4" width="9.140625" style="337" customWidth="1"/>
    <col min="5" max="5" width="9.140625" style="248"/>
    <col min="6" max="6" width="11.5703125" style="248" customWidth="1"/>
    <col min="7" max="16384" width="9.140625" style="215"/>
  </cols>
  <sheetData>
    <row r="1" spans="1:6" s="214" customFormat="1">
      <c r="A1" s="207" t="s">
        <v>19</v>
      </c>
      <c r="B1" s="208" t="s">
        <v>20</v>
      </c>
      <c r="C1" s="253"/>
      <c r="D1" s="209"/>
      <c r="E1" s="254"/>
      <c r="F1" s="255"/>
    </row>
    <row r="2" spans="1:6" s="214" customFormat="1" ht="4.5" customHeight="1">
      <c r="A2" s="258"/>
      <c r="B2" s="258"/>
      <c r="C2" s="212"/>
      <c r="D2" s="316"/>
      <c r="E2" s="213"/>
      <c r="F2" s="213"/>
    </row>
    <row r="3" spans="1:6" s="214" customFormat="1" ht="27.75" customHeight="1">
      <c r="A3" s="216" t="s">
        <v>36</v>
      </c>
      <c r="B3" s="217" t="s">
        <v>0</v>
      </c>
      <c r="C3" s="317" t="s">
        <v>3</v>
      </c>
      <c r="D3" s="219" t="s">
        <v>1</v>
      </c>
      <c r="E3" s="220" t="s">
        <v>2</v>
      </c>
      <c r="F3" s="221" t="s">
        <v>163</v>
      </c>
    </row>
    <row r="4" spans="1:6" s="214" customFormat="1">
      <c r="A4" s="259"/>
      <c r="B4" s="260"/>
      <c r="C4" s="318"/>
      <c r="D4" s="319"/>
      <c r="E4" s="263"/>
      <c r="F4" s="262"/>
    </row>
    <row r="5" spans="1:6" s="214" customFormat="1" ht="80.25" customHeight="1">
      <c r="A5" s="222"/>
      <c r="B5" s="442" t="s">
        <v>389</v>
      </c>
      <c r="C5" s="442"/>
      <c r="D5" s="442"/>
      <c r="E5" s="442"/>
      <c r="F5" s="442"/>
    </row>
    <row r="6" spans="1:6" s="214" customFormat="1">
      <c r="A6" s="222"/>
      <c r="B6" s="260"/>
      <c r="C6" s="318"/>
      <c r="D6" s="319"/>
      <c r="E6" s="263"/>
      <c r="F6" s="262"/>
    </row>
    <row r="7" spans="1:6" s="214" customFormat="1" ht="153.75" customHeight="1">
      <c r="A7" s="227">
        <f>MAX($A$5:A6)+1</f>
        <v>1</v>
      </c>
      <c r="B7" s="228" t="s">
        <v>391</v>
      </c>
      <c r="C7" s="320" t="s">
        <v>4</v>
      </c>
      <c r="D7" s="276">
        <f>2157+23.2+0.8</f>
        <v>2181</v>
      </c>
      <c r="E7" s="321"/>
      <c r="F7" s="231">
        <f>E7*D7</f>
        <v>0</v>
      </c>
    </row>
    <row r="8" spans="1:6" s="214" customFormat="1">
      <c r="A8" s="232"/>
      <c r="B8" s="228"/>
      <c r="C8" s="320"/>
      <c r="D8" s="276"/>
      <c r="E8" s="321"/>
      <c r="F8" s="231"/>
    </row>
    <row r="9" spans="1:6" s="214" customFormat="1" ht="140.25">
      <c r="A9" s="227">
        <f>MAX($A$5:A8)+1</f>
        <v>2</v>
      </c>
      <c r="B9" s="228" t="s">
        <v>392</v>
      </c>
      <c r="C9" s="320" t="s">
        <v>4</v>
      </c>
      <c r="D9" s="276">
        <f>(5*6.2+3.1*5.2+3.6*54.6+53.6*2+0.3*6.6+6.5*4+1*83+10+24*0.5+0.5*80+0.7*8+0.3*15.6+1.6*34.6)*1.1+0.55+31</f>
        <v>680</v>
      </c>
      <c r="E9" s="321"/>
      <c r="F9" s="231">
        <f>E9*D9</f>
        <v>0</v>
      </c>
    </row>
    <row r="10" spans="1:6" s="214" customFormat="1">
      <c r="A10" s="232"/>
      <c r="B10" s="322"/>
      <c r="C10" s="320"/>
      <c r="D10" s="323"/>
      <c r="E10" s="321"/>
      <c r="F10" s="324"/>
    </row>
    <row r="11" spans="1:6" s="214" customFormat="1" ht="63.75">
      <c r="A11" s="227">
        <f>MAX($A$5:A10)+1</f>
        <v>3</v>
      </c>
      <c r="B11" s="228" t="s">
        <v>746</v>
      </c>
      <c r="C11" s="320" t="s">
        <v>4</v>
      </c>
      <c r="D11" s="276">
        <v>50</v>
      </c>
      <c r="E11" s="321"/>
      <c r="F11" s="231">
        <f>E11*D11</f>
        <v>0</v>
      </c>
    </row>
    <row r="12" spans="1:6" s="214" customFormat="1">
      <c r="A12" s="232"/>
      <c r="B12" s="322"/>
      <c r="C12" s="320"/>
      <c r="D12" s="323"/>
      <c r="E12" s="321"/>
      <c r="F12" s="324"/>
    </row>
    <row r="13" spans="1:6" s="214" customFormat="1" ht="51">
      <c r="A13" s="227">
        <f>MAX($A$5:A11)+1</f>
        <v>4</v>
      </c>
      <c r="B13" s="228" t="s">
        <v>779</v>
      </c>
      <c r="C13" s="320" t="s">
        <v>4</v>
      </c>
      <c r="D13" s="276">
        <f>44.7*23.72+0.42*55.3+5.49</f>
        <v>1089.0000000000002</v>
      </c>
      <c r="E13" s="321"/>
      <c r="F13" s="231">
        <f>E13*D13</f>
        <v>0</v>
      </c>
    </row>
    <row r="14" spans="1:6" s="214" customFormat="1">
      <c r="A14" s="232"/>
      <c r="B14" s="322"/>
      <c r="C14" s="320"/>
      <c r="D14" s="323"/>
      <c r="E14" s="321"/>
      <c r="F14" s="324"/>
    </row>
    <row r="15" spans="1:6" s="214" customFormat="1" ht="51">
      <c r="A15" s="227">
        <f>MAX($A$5:A13)+1</f>
        <v>5</v>
      </c>
      <c r="B15" s="228" t="s">
        <v>789</v>
      </c>
      <c r="C15" s="320" t="s">
        <v>4</v>
      </c>
      <c r="D15" s="276">
        <v>22.5</v>
      </c>
      <c r="E15" s="321"/>
      <c r="F15" s="231">
        <f>E15*D15</f>
        <v>0</v>
      </c>
    </row>
    <row r="16" spans="1:6" s="214" customFormat="1">
      <c r="A16" s="232"/>
      <c r="B16" s="322"/>
      <c r="C16" s="320"/>
      <c r="D16" s="323"/>
      <c r="E16" s="321"/>
      <c r="F16" s="324"/>
    </row>
    <row r="17" spans="1:6" s="214" customFormat="1" ht="51">
      <c r="A17" s="227">
        <f>MAX($A$5:A16)+1</f>
        <v>6</v>
      </c>
      <c r="B17" s="228" t="s">
        <v>790</v>
      </c>
      <c r="C17" s="320" t="s">
        <v>4</v>
      </c>
      <c r="D17" s="276">
        <f>(4.73*61.5+53.6*2+0.3*6.6+9.3*2-32.6*4.73+47.5*4.73)*1.05+0.39+13*0.7+6.9+1*80+10+3.5*33+0.5</f>
        <v>735.9996000000001</v>
      </c>
      <c r="E17" s="321"/>
      <c r="F17" s="231">
        <f>E17*D17</f>
        <v>0</v>
      </c>
    </row>
    <row r="18" spans="1:6">
      <c r="A18" s="232"/>
      <c r="B18" s="325"/>
      <c r="C18" s="320"/>
      <c r="D18" s="276"/>
      <c r="E18" s="321"/>
      <c r="F18" s="231"/>
    </row>
    <row r="19" spans="1:6" s="214" customFormat="1" ht="51">
      <c r="A19" s="227">
        <f>MAX($A$5:A18)+1</f>
        <v>7</v>
      </c>
      <c r="B19" s="228" t="s">
        <v>791</v>
      </c>
      <c r="C19" s="320" t="s">
        <v>4</v>
      </c>
      <c r="D19" s="276">
        <f>32.9*4+1*80+3.6*1+4.76*0.7+1.75*0.7+1.24+9+253</f>
        <v>482.99699999999996</v>
      </c>
      <c r="E19" s="321"/>
      <c r="F19" s="231">
        <f>E19*D19</f>
        <v>0</v>
      </c>
    </row>
    <row r="20" spans="1:6">
      <c r="A20" s="232"/>
      <c r="B20" s="325"/>
      <c r="C20" s="320"/>
      <c r="D20" s="276"/>
      <c r="E20" s="321"/>
      <c r="F20" s="231"/>
    </row>
    <row r="21" spans="1:6" s="214" customFormat="1" ht="25.5">
      <c r="A21" s="227">
        <f>MAX($A$5:A20)+1</f>
        <v>8</v>
      </c>
      <c r="B21" s="228" t="s">
        <v>234</v>
      </c>
      <c r="C21" s="320" t="s">
        <v>4</v>
      </c>
      <c r="D21" s="230">
        <f>D19+D17-194</f>
        <v>1024.9965999999999</v>
      </c>
      <c r="E21" s="321"/>
      <c r="F21" s="231">
        <f>E21*D21</f>
        <v>0</v>
      </c>
    </row>
    <row r="22" spans="1:6" s="214" customFormat="1">
      <c r="A22" s="232"/>
      <c r="B22" s="228"/>
      <c r="C22" s="320"/>
      <c r="D22" s="230"/>
      <c r="E22" s="321"/>
      <c r="F22" s="231"/>
    </row>
    <row r="23" spans="1:6" s="214" customFormat="1" ht="78" customHeight="1">
      <c r="A23" s="227">
        <f>MAX($A$5:A22)+1</f>
        <v>9</v>
      </c>
      <c r="B23" s="228" t="s">
        <v>783</v>
      </c>
      <c r="C23" s="320" t="s">
        <v>4</v>
      </c>
      <c r="D23" s="230">
        <v>310</v>
      </c>
      <c r="E23" s="321"/>
      <c r="F23" s="231">
        <f>E23*D23</f>
        <v>0</v>
      </c>
    </row>
    <row r="24" spans="1:6" s="214" customFormat="1">
      <c r="A24" s="232"/>
      <c r="B24" s="228"/>
      <c r="C24" s="320"/>
      <c r="D24" s="230"/>
      <c r="E24" s="321"/>
      <c r="F24" s="231"/>
    </row>
    <row r="25" spans="1:6" s="214" customFormat="1" ht="89.25">
      <c r="A25" s="227">
        <f>MAX($A$5:A24)+1</f>
        <v>10</v>
      </c>
      <c r="B25" s="228" t="s">
        <v>780</v>
      </c>
      <c r="C25" s="320" t="s">
        <v>4</v>
      </c>
      <c r="D25" s="230">
        <v>237</v>
      </c>
      <c r="E25" s="321"/>
      <c r="F25" s="231">
        <f>E25*D25</f>
        <v>0</v>
      </c>
    </row>
    <row r="26" spans="1:6" s="214" customFormat="1">
      <c r="A26" s="232"/>
      <c r="B26" s="228"/>
      <c r="C26" s="320"/>
      <c r="D26" s="230"/>
      <c r="E26" s="321"/>
      <c r="F26" s="231"/>
    </row>
    <row r="27" spans="1:6" s="214" customFormat="1" ht="89.25">
      <c r="A27" s="227">
        <f>MAX($A$5:A26)+1</f>
        <v>11</v>
      </c>
      <c r="B27" s="228" t="s">
        <v>781</v>
      </c>
      <c r="C27" s="320" t="s">
        <v>4</v>
      </c>
      <c r="D27" s="230">
        <v>67</v>
      </c>
      <c r="E27" s="321"/>
      <c r="F27" s="231">
        <f>E27*D27</f>
        <v>0</v>
      </c>
    </row>
    <row r="28" spans="1:6" s="214" customFormat="1">
      <c r="A28" s="232"/>
      <c r="B28" s="228"/>
      <c r="C28" s="320"/>
      <c r="D28" s="230"/>
      <c r="E28" s="321"/>
      <c r="F28" s="231"/>
    </row>
    <row r="29" spans="1:6" s="214" customFormat="1" ht="102">
      <c r="A29" s="227">
        <f>MAX($A$5:A28)+1</f>
        <v>12</v>
      </c>
      <c r="B29" s="228" t="s">
        <v>792</v>
      </c>
      <c r="C29" s="320" t="s">
        <v>4</v>
      </c>
      <c r="D29" s="230">
        <f>340+330+8</f>
        <v>678</v>
      </c>
      <c r="E29" s="321"/>
      <c r="F29" s="231">
        <f>E29*D29</f>
        <v>0</v>
      </c>
    </row>
    <row r="30" spans="1:6" s="214" customFormat="1">
      <c r="A30" s="227"/>
      <c r="B30" s="228"/>
      <c r="C30" s="320"/>
      <c r="D30" s="230"/>
      <c r="E30" s="321"/>
      <c r="F30" s="231"/>
    </row>
    <row r="31" spans="1:6" s="214" customFormat="1" ht="102">
      <c r="A31" s="227">
        <f>MAX($A$5:A30)+1</f>
        <v>13</v>
      </c>
      <c r="B31" s="228" t="s">
        <v>793</v>
      </c>
      <c r="C31" s="320" t="s">
        <v>4</v>
      </c>
      <c r="D31" s="230">
        <f>412-340+11+25+13+8.5+0.5</f>
        <v>130</v>
      </c>
      <c r="E31" s="321"/>
      <c r="F31" s="231">
        <f>E31*D31</f>
        <v>0</v>
      </c>
    </row>
    <row r="32" spans="1:6" s="214" customFormat="1">
      <c r="A32" s="227"/>
      <c r="B32" s="228"/>
      <c r="C32" s="320"/>
      <c r="D32" s="230"/>
      <c r="E32" s="321"/>
      <c r="F32" s="231"/>
    </row>
    <row r="33" spans="1:8" s="214" customFormat="1" ht="89.25">
      <c r="A33" s="227">
        <f>MAX($A$5:A32)+1</f>
        <v>14</v>
      </c>
      <c r="B33" s="228" t="s">
        <v>782</v>
      </c>
      <c r="C33" s="320" t="s">
        <v>4</v>
      </c>
      <c r="D33" s="230">
        <v>412</v>
      </c>
      <c r="E33" s="321"/>
      <c r="F33" s="231">
        <f>E33*D33</f>
        <v>0</v>
      </c>
    </row>
    <row r="34" spans="1:8" s="214" customFormat="1">
      <c r="A34" s="232"/>
      <c r="B34" s="228"/>
      <c r="C34" s="320"/>
      <c r="D34" s="230"/>
      <c r="E34" s="321"/>
      <c r="F34" s="231"/>
    </row>
    <row r="35" spans="1:8" s="214" customFormat="1" ht="102">
      <c r="A35" s="227">
        <f>MAX($A$5:A34)+1</f>
        <v>15</v>
      </c>
      <c r="B35" s="228" t="s">
        <v>784</v>
      </c>
      <c r="C35" s="320" t="s">
        <v>4</v>
      </c>
      <c r="D35" s="230">
        <f>84*2</f>
        <v>168</v>
      </c>
      <c r="E35" s="321"/>
      <c r="F35" s="231">
        <f>E35*D35</f>
        <v>0</v>
      </c>
    </row>
    <row r="36" spans="1:8">
      <c r="A36" s="232"/>
      <c r="B36" s="326"/>
      <c r="C36" s="320"/>
      <c r="D36" s="230"/>
      <c r="E36" s="321"/>
      <c r="F36" s="231"/>
    </row>
    <row r="37" spans="1:8" s="214" customFormat="1" ht="89.25">
      <c r="A37" s="227">
        <f>MAX($A$5:A36)+1</f>
        <v>16</v>
      </c>
      <c r="B37" s="228" t="s">
        <v>785</v>
      </c>
      <c r="C37" s="320" t="s">
        <v>4</v>
      </c>
      <c r="D37" s="230">
        <f>182+88</f>
        <v>270</v>
      </c>
      <c r="E37" s="321"/>
      <c r="F37" s="231">
        <f>E37*D37</f>
        <v>0</v>
      </c>
    </row>
    <row r="38" spans="1:8" s="214" customFormat="1">
      <c r="A38" s="232"/>
      <c r="B38" s="228"/>
      <c r="C38" s="320"/>
      <c r="D38" s="230"/>
      <c r="E38" s="321"/>
      <c r="F38" s="231"/>
    </row>
    <row r="39" spans="1:8" s="214" customFormat="1" ht="89.25">
      <c r="A39" s="227">
        <f>MAX($A$5:A38)+1</f>
        <v>17</v>
      </c>
      <c r="B39" s="228" t="s">
        <v>794</v>
      </c>
      <c r="C39" s="320" t="s">
        <v>4</v>
      </c>
      <c r="D39" s="230">
        <f>11.3+6.6+0.1</f>
        <v>18</v>
      </c>
      <c r="E39" s="321"/>
      <c r="F39" s="231">
        <f>E39*D39</f>
        <v>0</v>
      </c>
    </row>
    <row r="40" spans="1:8" s="214" customFormat="1">
      <c r="A40" s="227"/>
      <c r="B40" s="228"/>
      <c r="C40" s="320"/>
      <c r="D40" s="230"/>
      <c r="E40" s="321"/>
      <c r="F40" s="231"/>
    </row>
    <row r="41" spans="1:8" s="214" customFormat="1" ht="91.5" customHeight="1">
      <c r="A41" s="227">
        <f>MAX($A$5:A40)+1</f>
        <v>18</v>
      </c>
      <c r="B41" s="228" t="s">
        <v>795</v>
      </c>
      <c r="E41" s="321"/>
    </row>
    <row r="42" spans="1:8" s="214" customFormat="1">
      <c r="A42" s="232" t="s">
        <v>586</v>
      </c>
      <c r="B42" s="228" t="s">
        <v>787</v>
      </c>
      <c r="C42" s="320" t="s">
        <v>4</v>
      </c>
      <c r="D42" s="230">
        <f>11.3+6.6+0.1</f>
        <v>18</v>
      </c>
      <c r="E42" s="321"/>
      <c r="F42" s="231">
        <f>E42*D42</f>
        <v>0</v>
      </c>
    </row>
    <row r="43" spans="1:8">
      <c r="A43" s="232" t="s">
        <v>587</v>
      </c>
      <c r="B43" s="326" t="s">
        <v>788</v>
      </c>
      <c r="C43" s="320" t="s">
        <v>4</v>
      </c>
      <c r="D43" s="230">
        <v>26</v>
      </c>
      <c r="E43" s="321"/>
      <c r="F43" s="231">
        <f>E43*D43</f>
        <v>0</v>
      </c>
    </row>
    <row r="44" spans="1:8">
      <c r="A44" s="232"/>
      <c r="B44" s="326"/>
      <c r="C44" s="320"/>
      <c r="D44" s="230"/>
      <c r="E44" s="321"/>
      <c r="F44" s="231"/>
    </row>
    <row r="45" spans="1:8" s="214" customFormat="1" ht="89.25">
      <c r="A45" s="227">
        <f>MAX($A$5:A43)+1</f>
        <v>19</v>
      </c>
      <c r="B45" s="228" t="s">
        <v>786</v>
      </c>
      <c r="E45" s="321"/>
    </row>
    <row r="46" spans="1:8" s="214" customFormat="1">
      <c r="A46" s="227" t="s">
        <v>586</v>
      </c>
      <c r="B46" s="228" t="s">
        <v>777</v>
      </c>
      <c r="C46" s="320" t="s">
        <v>4</v>
      </c>
      <c r="D46" s="230">
        <f>47*2</f>
        <v>94</v>
      </c>
      <c r="E46" s="321"/>
      <c r="F46" s="231">
        <f>E46*D46</f>
        <v>0</v>
      </c>
      <c r="H46" s="215"/>
    </row>
    <row r="47" spans="1:8" s="214" customFormat="1">
      <c r="A47" s="227" t="s">
        <v>587</v>
      </c>
      <c r="B47" s="228" t="s">
        <v>393</v>
      </c>
      <c r="C47" s="320" t="s">
        <v>4</v>
      </c>
      <c r="D47" s="230">
        <f>22.6*2+7.3+1*4.8*2+0.9</f>
        <v>63</v>
      </c>
      <c r="E47" s="321"/>
      <c r="F47" s="231">
        <f>E47*D47</f>
        <v>0</v>
      </c>
    </row>
    <row r="48" spans="1:8">
      <c r="A48" s="270"/>
      <c r="B48" s="270"/>
      <c r="C48" s="270"/>
      <c r="D48" s="276"/>
      <c r="E48" s="321"/>
      <c r="F48" s="278"/>
    </row>
    <row r="49" spans="1:6" s="214" customFormat="1" ht="38.25">
      <c r="A49" s="227">
        <f>MAX($A$5:A48)+1</f>
        <v>20</v>
      </c>
      <c r="B49" s="228" t="s">
        <v>394</v>
      </c>
      <c r="C49" s="320" t="s">
        <v>5</v>
      </c>
      <c r="D49" s="230">
        <f>7.6*0.3*3.6+(1.8+2.7)*0.3*3.3+0.34</f>
        <v>13.003</v>
      </c>
      <c r="E49" s="321"/>
      <c r="F49" s="231">
        <f>E49*D49</f>
        <v>0</v>
      </c>
    </row>
    <row r="50" spans="1:6" s="214" customFormat="1">
      <c r="A50" s="227"/>
      <c r="B50" s="228"/>
      <c r="C50" s="320"/>
      <c r="D50" s="230"/>
      <c r="E50" s="321"/>
      <c r="F50" s="231"/>
    </row>
    <row r="51" spans="1:6" s="214" customFormat="1" ht="51">
      <c r="A51" s="227">
        <f>MAX($A$5:A50)+1</f>
        <v>21</v>
      </c>
      <c r="B51" s="228" t="s">
        <v>769</v>
      </c>
      <c r="C51" s="320" t="s">
        <v>5</v>
      </c>
      <c r="D51" s="230">
        <f>0.3*1*1.1+0.17</f>
        <v>0.5</v>
      </c>
      <c r="E51" s="321"/>
      <c r="F51" s="231">
        <f>E51*D51</f>
        <v>0</v>
      </c>
    </row>
    <row r="52" spans="1:6">
      <c r="A52" s="232"/>
      <c r="B52" s="228"/>
      <c r="C52" s="320"/>
      <c r="D52" s="230"/>
      <c r="E52" s="321"/>
      <c r="F52" s="231"/>
    </row>
    <row r="53" spans="1:6" s="214" customFormat="1" ht="38.25">
      <c r="A53" s="227">
        <f>MAX($A$5:A52)+1</f>
        <v>22</v>
      </c>
      <c r="B53" s="228" t="s">
        <v>396</v>
      </c>
      <c r="C53" s="320" t="s">
        <v>5</v>
      </c>
      <c r="D53" s="230">
        <f>(23.5-0.25*6-0.7+2.3*3+23.5-0.25*9+0.75*2+0.95+0.95+0.75+5)*0.25*3.4+0.44+0.05</f>
        <v>50.300000000000004</v>
      </c>
      <c r="E53" s="321"/>
      <c r="F53" s="231">
        <f>E53*D53</f>
        <v>0</v>
      </c>
    </row>
    <row r="54" spans="1:6" s="214" customFormat="1">
      <c r="A54" s="232"/>
      <c r="B54" s="228"/>
      <c r="C54" s="320"/>
      <c r="D54" s="230"/>
      <c r="E54" s="321"/>
      <c r="F54" s="231"/>
    </row>
    <row r="55" spans="1:6" s="214" customFormat="1" ht="38.25">
      <c r="A55" s="227">
        <f>MAX($A$5:A54)+1</f>
        <v>23</v>
      </c>
      <c r="B55" s="228" t="s">
        <v>395</v>
      </c>
      <c r="C55" s="320" t="s">
        <v>5</v>
      </c>
      <c r="D55" s="230">
        <f>3.7*3.6*0.2+2.8*3.6*0.2+1.6*0.2*3.2+1.6*0.2*3.2+23.4*0.2+3.32*0.2*(9.9+3.7+1.5+0.8+13-0.6+2.2+2.2+4.4)+3.7*0.2*19.4</f>
        <v>50.398400000000002</v>
      </c>
      <c r="E55" s="321"/>
      <c r="F55" s="231">
        <f>E55*D55</f>
        <v>0</v>
      </c>
    </row>
    <row r="56" spans="1:6" s="214" customFormat="1">
      <c r="A56" s="232"/>
      <c r="B56" s="228"/>
      <c r="C56" s="320"/>
      <c r="D56" s="230"/>
      <c r="E56" s="321"/>
      <c r="F56" s="231"/>
    </row>
    <row r="57" spans="1:6" s="214" customFormat="1" ht="25.5">
      <c r="A57" s="227">
        <f>MAX($A$5:A56)+1</f>
        <v>24</v>
      </c>
      <c r="B57" s="228" t="s">
        <v>398</v>
      </c>
      <c r="C57" s="270"/>
      <c r="D57" s="270"/>
      <c r="E57" s="321"/>
      <c r="F57" s="270"/>
    </row>
    <row r="58" spans="1:6" s="214" customFormat="1">
      <c r="A58" s="270"/>
      <c r="B58" s="228" t="s">
        <v>397</v>
      </c>
      <c r="C58" s="320" t="s">
        <v>10</v>
      </c>
      <c r="D58" s="230">
        <v>3</v>
      </c>
      <c r="E58" s="321"/>
      <c r="F58" s="231">
        <f>E58*D58</f>
        <v>0</v>
      </c>
    </row>
    <row r="59" spans="1:6" s="214" customFormat="1">
      <c r="A59" s="270"/>
      <c r="B59" s="228"/>
      <c r="C59" s="320"/>
      <c r="D59" s="230"/>
      <c r="E59" s="321"/>
      <c r="F59" s="231"/>
    </row>
    <row r="60" spans="1:6" s="214" customFormat="1" ht="25.5">
      <c r="A60" s="227">
        <f>MAX($A$5:A59)+1</f>
        <v>25</v>
      </c>
      <c r="B60" s="228" t="s">
        <v>399</v>
      </c>
      <c r="C60" s="270"/>
      <c r="D60" s="270"/>
      <c r="E60" s="321"/>
      <c r="F60" s="270"/>
    </row>
    <row r="61" spans="1:6" s="214" customFormat="1">
      <c r="A61" s="270"/>
      <c r="B61" s="228" t="s">
        <v>278</v>
      </c>
      <c r="C61" s="320" t="s">
        <v>10</v>
      </c>
      <c r="D61" s="230">
        <v>4</v>
      </c>
      <c r="E61" s="321"/>
      <c r="F61" s="231">
        <f>E61*D61</f>
        <v>0</v>
      </c>
    </row>
    <row r="62" spans="1:6" s="214" customFormat="1">
      <c r="A62" s="270"/>
      <c r="B62" s="228"/>
      <c r="C62" s="320"/>
      <c r="D62" s="230"/>
      <c r="E62" s="321"/>
      <c r="F62" s="231"/>
    </row>
    <row r="63" spans="1:6" s="214" customFormat="1" ht="147" customHeight="1">
      <c r="A63" s="227">
        <f>MAX($A$5:A62)+1</f>
        <v>26</v>
      </c>
      <c r="B63" s="228" t="s">
        <v>525</v>
      </c>
      <c r="C63" s="320" t="s">
        <v>204</v>
      </c>
      <c r="D63" s="230">
        <v>48</v>
      </c>
      <c r="E63" s="321"/>
      <c r="F63" s="231">
        <f>E63*D63</f>
        <v>0</v>
      </c>
    </row>
    <row r="64" spans="1:6" s="214" customFormat="1">
      <c r="A64" s="232"/>
      <c r="B64" s="228"/>
      <c r="C64" s="320"/>
      <c r="D64" s="230"/>
      <c r="E64" s="321"/>
      <c r="F64" s="231"/>
    </row>
    <row r="65" spans="1:6" s="214" customFormat="1" ht="91.5" customHeight="1">
      <c r="A65" s="227">
        <f>MAX($A$5:A64)+1</f>
        <v>27</v>
      </c>
      <c r="B65" s="228" t="s">
        <v>390</v>
      </c>
      <c r="C65" s="270"/>
      <c r="D65" s="270"/>
      <c r="E65" s="321"/>
      <c r="F65" s="270"/>
    </row>
    <row r="66" spans="1:6" s="214" customFormat="1">
      <c r="A66" s="232" t="s">
        <v>586</v>
      </c>
      <c r="B66" s="228" t="s">
        <v>400</v>
      </c>
      <c r="C66" s="320" t="s">
        <v>4</v>
      </c>
      <c r="D66" s="230">
        <f>(11.7-2.5-4-2.5+13.7+8.75+7.9)*3.32+3*(23.5+6+2.3*6+1.2*2+23)+3.32*(13.2+2.2*6+1.4+1.6+2.2)+2.5*3.32+0.96</f>
        <v>429.99799999999993</v>
      </c>
      <c r="E66" s="321"/>
      <c r="F66" s="231">
        <f>E66*D66</f>
        <v>0</v>
      </c>
    </row>
    <row r="67" spans="1:6" s="214" customFormat="1">
      <c r="A67" s="232" t="s">
        <v>587</v>
      </c>
      <c r="B67" s="228" t="s">
        <v>236</v>
      </c>
      <c r="C67" s="320" t="s">
        <v>4</v>
      </c>
      <c r="D67" s="230">
        <f>1.6*4*3.2+22.8*2+0.72+21*3.7+0.5</f>
        <v>145</v>
      </c>
      <c r="E67" s="321"/>
      <c r="F67" s="231">
        <f>E67*D67</f>
        <v>0</v>
      </c>
    </row>
    <row r="68" spans="1:6" s="214" customFormat="1">
      <c r="A68" s="232"/>
      <c r="B68" s="228"/>
      <c r="C68" s="320"/>
      <c r="D68" s="230"/>
      <c r="E68" s="321"/>
      <c r="F68" s="231"/>
    </row>
    <row r="69" spans="1:6" s="214" customFormat="1" ht="166.5" customHeight="1">
      <c r="A69" s="227">
        <f>MAX($A$5:A68)+1</f>
        <v>28</v>
      </c>
      <c r="B69" s="228" t="s">
        <v>661</v>
      </c>
      <c r="C69" s="270"/>
      <c r="D69" s="270"/>
      <c r="E69" s="321"/>
      <c r="F69" s="270"/>
    </row>
    <row r="70" spans="1:6" s="214" customFormat="1">
      <c r="A70" s="232" t="s">
        <v>586</v>
      </c>
      <c r="B70" s="228" t="s">
        <v>401</v>
      </c>
      <c r="C70" s="320" t="s">
        <v>4</v>
      </c>
      <c r="D70" s="230">
        <v>231</v>
      </c>
      <c r="E70" s="321"/>
      <c r="F70" s="231">
        <f t="shared" ref="F70:F77" si="0">E70*D70</f>
        <v>0</v>
      </c>
    </row>
    <row r="71" spans="1:6" s="214" customFormat="1">
      <c r="A71" s="232" t="s">
        <v>587</v>
      </c>
      <c r="B71" s="228" t="s">
        <v>402</v>
      </c>
      <c r="C71" s="320" t="s">
        <v>4</v>
      </c>
      <c r="D71" s="230">
        <v>69</v>
      </c>
      <c r="E71" s="321"/>
      <c r="F71" s="231">
        <f t="shared" si="0"/>
        <v>0</v>
      </c>
    </row>
    <row r="72" spans="1:6" s="214" customFormat="1">
      <c r="A72" s="232" t="s">
        <v>588</v>
      </c>
      <c r="B72" s="228" t="s">
        <v>408</v>
      </c>
      <c r="C72" s="320" t="s">
        <v>4</v>
      </c>
      <c r="D72" s="230">
        <f>61+6+32+75.5+11.5+8+89.9+61.5+61.6+10.4+9.6+12+72.4+61.5+59.3+20.2+9.6+4.7+10.3+3+7</f>
        <v>687</v>
      </c>
      <c r="E72" s="321"/>
      <c r="F72" s="231">
        <f t="shared" si="0"/>
        <v>0</v>
      </c>
    </row>
    <row r="73" spans="1:6" s="214" customFormat="1">
      <c r="A73" s="232" t="s">
        <v>589</v>
      </c>
      <c r="B73" s="228" t="s">
        <v>403</v>
      </c>
      <c r="C73" s="320" t="s">
        <v>4</v>
      </c>
      <c r="D73" s="230">
        <f>24.9+3.9+12.8+4.5+16.4+25+3.3+12.4+0.8</f>
        <v>104</v>
      </c>
      <c r="E73" s="321"/>
      <c r="F73" s="231">
        <f t="shared" si="0"/>
        <v>0</v>
      </c>
    </row>
    <row r="74" spans="1:6" s="214" customFormat="1">
      <c r="A74" s="232" t="s">
        <v>636</v>
      </c>
      <c r="B74" s="228" t="s">
        <v>405</v>
      </c>
      <c r="C74" s="320" t="s">
        <v>4</v>
      </c>
      <c r="D74" s="230">
        <f>83.4+0.6+84</f>
        <v>168</v>
      </c>
      <c r="E74" s="321"/>
      <c r="F74" s="231">
        <f t="shared" si="0"/>
        <v>0</v>
      </c>
    </row>
    <row r="75" spans="1:6" s="214" customFormat="1">
      <c r="A75" s="232" t="s">
        <v>637</v>
      </c>
      <c r="B75" s="228" t="s">
        <v>404</v>
      </c>
      <c r="C75" s="320" t="s">
        <v>4</v>
      </c>
      <c r="D75" s="230">
        <f>10.5+0.5</f>
        <v>11</v>
      </c>
      <c r="E75" s="321"/>
      <c r="F75" s="231">
        <f t="shared" si="0"/>
        <v>0</v>
      </c>
    </row>
    <row r="76" spans="1:6" s="214" customFormat="1">
      <c r="A76" s="232" t="s">
        <v>638</v>
      </c>
      <c r="B76" s="228" t="s">
        <v>406</v>
      </c>
      <c r="C76" s="320" t="s">
        <v>4</v>
      </c>
      <c r="D76" s="230">
        <f>141.7+10.6*2+1.1+8.4*2+61.9</f>
        <v>242.7</v>
      </c>
      <c r="E76" s="321"/>
      <c r="F76" s="231">
        <f t="shared" si="0"/>
        <v>0</v>
      </c>
    </row>
    <row r="77" spans="1:6" s="214" customFormat="1">
      <c r="A77" s="232" t="s">
        <v>665</v>
      </c>
      <c r="B77" s="228" t="s">
        <v>407</v>
      </c>
      <c r="C77" s="320" t="s">
        <v>4</v>
      </c>
      <c r="D77" s="230">
        <f>11.5+6.6+0.9</f>
        <v>19</v>
      </c>
      <c r="E77" s="321"/>
      <c r="F77" s="231">
        <f t="shared" si="0"/>
        <v>0</v>
      </c>
    </row>
    <row r="78" spans="1:6">
      <c r="A78" s="232"/>
      <c r="B78" s="228"/>
      <c r="C78" s="229"/>
      <c r="D78" s="327"/>
      <c r="E78" s="321"/>
      <c r="F78" s="328"/>
    </row>
    <row r="79" spans="1:6" s="214" customFormat="1" ht="25.5">
      <c r="A79" s="227">
        <f>MAX($A$5:A78)+1</f>
        <v>29</v>
      </c>
      <c r="B79" s="228" t="s">
        <v>237</v>
      </c>
      <c r="C79" s="320" t="s">
        <v>204</v>
      </c>
      <c r="D79" s="230">
        <v>100</v>
      </c>
      <c r="E79" s="321"/>
      <c r="F79" s="231">
        <f>E79*D79</f>
        <v>0</v>
      </c>
    </row>
    <row r="80" spans="1:6">
      <c r="A80" s="232"/>
      <c r="B80" s="228"/>
      <c r="C80" s="320"/>
      <c r="D80" s="230"/>
      <c r="E80" s="321"/>
      <c r="F80" s="231"/>
    </row>
    <row r="81" spans="1:6" ht="25.5">
      <c r="A81" s="227">
        <f>MAX($A$5:A80)+1</f>
        <v>30</v>
      </c>
      <c r="B81" s="228" t="s">
        <v>413</v>
      </c>
      <c r="C81" s="320"/>
      <c r="D81" s="230"/>
      <c r="E81" s="321"/>
      <c r="F81" s="231"/>
    </row>
    <row r="82" spans="1:6">
      <c r="A82" s="227" t="s">
        <v>586</v>
      </c>
      <c r="B82" s="228" t="s">
        <v>409</v>
      </c>
      <c r="C82" s="320" t="s">
        <v>204</v>
      </c>
      <c r="D82" s="230">
        <v>50</v>
      </c>
      <c r="E82" s="321"/>
      <c r="F82" s="231">
        <f t="shared" ref="F82:F83" si="1">E82*D82</f>
        <v>0</v>
      </c>
    </row>
    <row r="83" spans="1:6">
      <c r="A83" s="227" t="s">
        <v>587</v>
      </c>
      <c r="B83" s="228" t="s">
        <v>410</v>
      </c>
      <c r="C83" s="320" t="s">
        <v>204</v>
      </c>
      <c r="D83" s="230">
        <v>50</v>
      </c>
      <c r="E83" s="321"/>
      <c r="F83" s="231">
        <f t="shared" si="1"/>
        <v>0</v>
      </c>
    </row>
    <row r="84" spans="1:6">
      <c r="A84" s="232"/>
      <c r="B84" s="228"/>
      <c r="C84" s="320"/>
      <c r="D84" s="230"/>
      <c r="E84" s="321"/>
      <c r="F84" s="231"/>
    </row>
    <row r="85" spans="1:6" s="214" customFormat="1" ht="51">
      <c r="A85" s="227">
        <f>MAX($A$5:A84)+1</f>
        <v>31</v>
      </c>
      <c r="B85" s="228" t="s">
        <v>412</v>
      </c>
      <c r="C85" s="320"/>
      <c r="D85" s="230"/>
      <c r="E85" s="321"/>
      <c r="F85" s="231"/>
    </row>
    <row r="86" spans="1:6" s="214" customFormat="1">
      <c r="A86" s="227" t="s">
        <v>586</v>
      </c>
      <c r="B86" s="228" t="s">
        <v>409</v>
      </c>
      <c r="C86" s="320" t="s">
        <v>204</v>
      </c>
      <c r="D86" s="230">
        <v>100</v>
      </c>
      <c r="E86" s="321"/>
      <c r="F86" s="231">
        <f t="shared" ref="F86:F89" si="2">E86*D86</f>
        <v>0</v>
      </c>
    </row>
    <row r="87" spans="1:6" s="214" customFormat="1">
      <c r="A87" s="227" t="s">
        <v>587</v>
      </c>
      <c r="B87" s="228" t="s">
        <v>410</v>
      </c>
      <c r="C87" s="320" t="s">
        <v>204</v>
      </c>
      <c r="D87" s="230">
        <v>100</v>
      </c>
      <c r="E87" s="321"/>
      <c r="F87" s="231">
        <f t="shared" si="2"/>
        <v>0</v>
      </c>
    </row>
    <row r="88" spans="1:6">
      <c r="A88" s="329"/>
      <c r="B88" s="228"/>
      <c r="C88" s="320"/>
      <c r="D88" s="230"/>
      <c r="E88" s="321"/>
      <c r="F88" s="231"/>
    </row>
    <row r="89" spans="1:6" ht="51">
      <c r="A89" s="227">
        <f>MAX($A$5:A88)+1</f>
        <v>32</v>
      </c>
      <c r="B89" s="228" t="s">
        <v>411</v>
      </c>
      <c r="C89" s="320" t="s">
        <v>175</v>
      </c>
      <c r="D89" s="230">
        <v>15</v>
      </c>
      <c r="E89" s="321"/>
      <c r="F89" s="231">
        <f t="shared" si="2"/>
        <v>0</v>
      </c>
    </row>
    <row r="90" spans="1:6">
      <c r="A90" s="329"/>
      <c r="B90" s="228"/>
      <c r="C90" s="320"/>
      <c r="D90" s="230"/>
      <c r="E90" s="321"/>
      <c r="F90" s="231"/>
    </row>
    <row r="91" spans="1:6" ht="38.25">
      <c r="A91" s="227">
        <f>MAX($A$5:A90)+1</f>
        <v>33</v>
      </c>
      <c r="B91" s="228" t="s">
        <v>414</v>
      </c>
      <c r="C91" s="320" t="s">
        <v>4</v>
      </c>
      <c r="D91" s="230">
        <f>(10.85+130.55+2.3+57.6)*2.52+(13.74+15.7)*3.3+(8.05+8.63+3.13+2.37+2.39+1.2+4.6+8.65+10.74+11.27+15.19+2.66+2.64+4.26+1.55)*3.1+(8.42+10.77+5.1)*2*3.5*3+(0.5+9.05+8.44+8.08+0.6+1+3.3+3.62+13.6*2+10.61+10.74+1.69+8.23+3.22+2.42+3.3+3.59)*3.1+7.43</f>
        <v>1720</v>
      </c>
      <c r="E91" s="321"/>
      <c r="F91" s="231">
        <f t="shared" ref="F91" si="3">E91*D91</f>
        <v>0</v>
      </c>
    </row>
    <row r="92" spans="1:6">
      <c r="A92" s="329"/>
      <c r="B92" s="228"/>
      <c r="C92" s="320"/>
      <c r="D92" s="230"/>
      <c r="E92" s="321"/>
      <c r="F92" s="231"/>
    </row>
    <row r="93" spans="1:6" s="214" customFormat="1" ht="38.25">
      <c r="A93" s="227">
        <f>MAX($A$5:A92)+1</f>
        <v>34</v>
      </c>
      <c r="B93" s="228" t="s">
        <v>261</v>
      </c>
      <c r="C93" s="320" t="s">
        <v>10</v>
      </c>
      <c r="D93" s="230">
        <v>5</v>
      </c>
      <c r="E93" s="321"/>
      <c r="F93" s="231">
        <f>E93*D93</f>
        <v>0</v>
      </c>
    </row>
    <row r="94" spans="1:6" s="214" customFormat="1">
      <c r="A94" s="227"/>
      <c r="B94" s="228"/>
      <c r="C94" s="320"/>
      <c r="D94" s="230"/>
      <c r="E94" s="321"/>
      <c r="F94" s="231"/>
    </row>
    <row r="95" spans="1:6" s="214" customFormat="1" ht="89.25" customHeight="1">
      <c r="A95" s="227">
        <f>MAX($A$5:A94)+1</f>
        <v>35</v>
      </c>
      <c r="B95" s="228" t="s">
        <v>415</v>
      </c>
      <c r="C95" s="320" t="s">
        <v>4</v>
      </c>
      <c r="D95" s="230">
        <v>300</v>
      </c>
      <c r="E95" s="321"/>
      <c r="F95" s="231">
        <f>E95*D95</f>
        <v>0</v>
      </c>
    </row>
    <row r="96" spans="1:6" s="214" customFormat="1">
      <c r="A96" s="329"/>
      <c r="B96" s="228"/>
      <c r="C96" s="320"/>
      <c r="D96" s="230"/>
      <c r="E96" s="321"/>
      <c r="F96" s="231"/>
    </row>
    <row r="97" spans="1:6" s="214" customFormat="1" ht="25.5">
      <c r="A97" s="227">
        <f>MAX($A$5:A96)+1</f>
        <v>36</v>
      </c>
      <c r="B97" s="228" t="s">
        <v>430</v>
      </c>
      <c r="C97" s="320" t="s">
        <v>175</v>
      </c>
      <c r="D97" s="230">
        <v>36</v>
      </c>
      <c r="E97" s="321"/>
      <c r="F97" s="231">
        <f>E97*D97</f>
        <v>0</v>
      </c>
    </row>
    <row r="98" spans="1:6" s="214" customFormat="1">
      <c r="A98" s="227"/>
      <c r="B98" s="228"/>
      <c r="C98" s="320"/>
      <c r="D98" s="230"/>
      <c r="E98" s="321"/>
      <c r="F98" s="231"/>
    </row>
    <row r="99" spans="1:6" s="214" customFormat="1" ht="38.25">
      <c r="A99" s="227">
        <f>MAX($A$5:A98)+1</f>
        <v>37</v>
      </c>
      <c r="B99" s="228" t="s">
        <v>431</v>
      </c>
      <c r="C99" s="320" t="s">
        <v>4</v>
      </c>
      <c r="D99" s="230">
        <f>4.2*0.25*4+0.3+0.5</f>
        <v>5</v>
      </c>
      <c r="E99" s="321"/>
      <c r="F99" s="231">
        <f>E99*D99</f>
        <v>0</v>
      </c>
    </row>
    <row r="100" spans="1:6" s="214" customFormat="1">
      <c r="A100" s="329"/>
      <c r="B100" s="228"/>
      <c r="C100" s="320"/>
      <c r="D100" s="230"/>
      <c r="E100" s="321"/>
      <c r="F100" s="231"/>
    </row>
    <row r="101" spans="1:6" s="214" customFormat="1" ht="38.25">
      <c r="A101" s="227">
        <f>MAX($A$5:A100)+1</f>
        <v>38</v>
      </c>
      <c r="B101" s="228" t="s">
        <v>257</v>
      </c>
      <c r="C101" s="320" t="s">
        <v>4</v>
      </c>
      <c r="D101" s="230">
        <f>'IV.Tesarska dela'!D111</f>
        <v>2592</v>
      </c>
      <c r="E101" s="321"/>
      <c r="F101" s="231">
        <f>E101*D101</f>
        <v>0</v>
      </c>
    </row>
    <row r="102" spans="1:6">
      <c r="A102" s="232"/>
      <c r="B102" s="228"/>
      <c r="C102" s="320"/>
      <c r="D102" s="230"/>
      <c r="E102" s="321"/>
      <c r="F102" s="328"/>
    </row>
    <row r="103" spans="1:6" ht="54.75" customHeight="1">
      <c r="A103" s="227">
        <f>MAX($A$5:A102)+1</f>
        <v>39</v>
      </c>
      <c r="B103" s="325" t="s">
        <v>416</v>
      </c>
      <c r="C103" s="320"/>
      <c r="D103" s="230"/>
      <c r="E103" s="321"/>
      <c r="F103" s="328"/>
    </row>
    <row r="104" spans="1:6">
      <c r="A104" s="232" t="s">
        <v>586</v>
      </c>
      <c r="B104" s="291" t="s">
        <v>200</v>
      </c>
      <c r="C104" s="320" t="s">
        <v>202</v>
      </c>
      <c r="D104" s="230">
        <v>150</v>
      </c>
      <c r="E104" s="321"/>
      <c r="F104" s="231">
        <f>E104*D104</f>
        <v>0</v>
      </c>
    </row>
    <row r="105" spans="1:6">
      <c r="A105" s="232" t="s">
        <v>587</v>
      </c>
      <c r="B105" s="291" t="s">
        <v>201</v>
      </c>
      <c r="C105" s="320" t="s">
        <v>202</v>
      </c>
      <c r="D105" s="230">
        <v>200</v>
      </c>
      <c r="E105" s="321"/>
      <c r="F105" s="231">
        <f>E105*D105</f>
        <v>0</v>
      </c>
    </row>
    <row r="106" spans="1:6">
      <c r="A106" s="222" t="s">
        <v>588</v>
      </c>
      <c r="B106" s="266" t="s">
        <v>203</v>
      </c>
      <c r="C106" s="330"/>
      <c r="D106" s="236"/>
      <c r="E106" s="321"/>
      <c r="F106" s="231">
        <f>0.25*(F104+F105)</f>
        <v>0</v>
      </c>
    </row>
    <row r="107" spans="1:6">
      <c r="A107" s="331"/>
      <c r="B107" s="301"/>
      <c r="C107" s="332"/>
      <c r="D107" s="303"/>
      <c r="E107" s="304"/>
      <c r="F107" s="305"/>
    </row>
    <row r="108" spans="1:6">
      <c r="A108" s="282"/>
      <c r="B108" s="333"/>
      <c r="C108" s="334"/>
      <c r="D108" s="335"/>
      <c r="F108" s="336"/>
    </row>
    <row r="109" spans="1:6" s="214" customFormat="1" ht="13.5">
      <c r="A109" s="282"/>
      <c r="B109" s="243" t="s">
        <v>216</v>
      </c>
      <c r="D109" s="277"/>
      <c r="E109" s="245"/>
      <c r="F109" s="281">
        <f>SUM(F7:F106)</f>
        <v>0</v>
      </c>
    </row>
    <row r="110" spans="1:6">
      <c r="A110" s="222"/>
    </row>
    <row r="111" spans="1:6">
      <c r="B111" s="307"/>
    </row>
    <row r="112" spans="1:6">
      <c r="B112" s="247"/>
    </row>
    <row r="115" spans="2:2">
      <c r="B115" s="338"/>
    </row>
    <row r="116" spans="2:2">
      <c r="B116" s="301"/>
    </row>
    <row r="117" spans="2:2">
      <c r="B117" s="301"/>
    </row>
    <row r="118" spans="2:2">
      <c r="B118" s="301"/>
    </row>
  </sheetData>
  <sheetProtection algorithmName="SHA-512" hashValue="R2PhcmHI6XSMIaKM/25PgFdcwNlrXD5xKqjU4xirC8Tz8inFmIDZg/aNjeQ+BDbvQf1b2A/KxPXfp/GVqYAMNQ==" saltValue="8jEmYWNmeI06g2GolH8Z4w=="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0">
    <tabColor rgb="FFFFFF00"/>
  </sheetPr>
  <dimension ref="A1:F41"/>
  <sheetViews>
    <sheetView view="pageBreakPreview" topLeftCell="A19" zoomScaleNormal="100" zoomScaleSheetLayoutView="100" workbookViewId="0">
      <selection activeCell="B23" sqref="B23"/>
    </sheetView>
  </sheetViews>
  <sheetFormatPr defaultColWidth="9.140625" defaultRowHeight="12.75"/>
  <cols>
    <col min="1" max="1" width="5.85546875" style="214" customWidth="1"/>
    <col min="2" max="2" width="46.85546875" style="214" customWidth="1"/>
    <col min="3" max="3" width="6.140625" style="214" customWidth="1"/>
    <col min="4" max="4" width="8" style="267" customWidth="1"/>
    <col min="5" max="5" width="9.140625" style="267"/>
    <col min="6" max="6" width="11.5703125" style="267" customWidth="1"/>
    <col min="7" max="16384" width="9.140625" style="214"/>
  </cols>
  <sheetData>
    <row r="1" spans="1:6">
      <c r="A1" s="207" t="s">
        <v>29</v>
      </c>
      <c r="B1" s="208" t="s">
        <v>198</v>
      </c>
      <c r="C1" s="253"/>
      <c r="D1" s="254"/>
      <c r="E1" s="254"/>
      <c r="F1" s="255"/>
    </row>
    <row r="2" spans="1:6" ht="4.5" customHeight="1">
      <c r="A2" s="258"/>
      <c r="B2" s="258"/>
      <c r="C2" s="212"/>
      <c r="D2" s="213"/>
      <c r="E2" s="213"/>
      <c r="F2" s="213"/>
    </row>
    <row r="3" spans="1:6" ht="25.5">
      <c r="A3" s="216" t="s">
        <v>36</v>
      </c>
      <c r="B3" s="217" t="s">
        <v>0</v>
      </c>
      <c r="C3" s="218" t="s">
        <v>3</v>
      </c>
      <c r="D3" s="219" t="s">
        <v>1</v>
      </c>
      <c r="E3" s="220" t="s">
        <v>2</v>
      </c>
      <c r="F3" s="221" t="s">
        <v>163</v>
      </c>
    </row>
    <row r="4" spans="1:6">
      <c r="A4" s="222"/>
      <c r="B4" s="285"/>
      <c r="C4" s="339"/>
      <c r="D4" s="244"/>
      <c r="E4" s="245"/>
      <c r="F4" s="245"/>
    </row>
    <row r="5" spans="1:6" ht="54" customHeight="1">
      <c r="A5" s="222"/>
      <c r="B5" s="440" t="s">
        <v>417</v>
      </c>
      <c r="C5" s="440"/>
      <c r="D5" s="440"/>
      <c r="E5" s="440"/>
      <c r="F5" s="440"/>
    </row>
    <row r="6" spans="1:6">
      <c r="A6" s="222"/>
      <c r="B6" s="340"/>
      <c r="C6" s="340"/>
      <c r="D6" s="340"/>
      <c r="E6" s="340"/>
      <c r="F6" s="340"/>
    </row>
    <row r="7" spans="1:6" ht="63.75">
      <c r="A7" s="227">
        <f>MAX($A$5:A6)+1</f>
        <v>1</v>
      </c>
      <c r="B7" s="228" t="s">
        <v>258</v>
      </c>
      <c r="C7" s="270"/>
      <c r="D7" s="270"/>
      <c r="E7" s="340"/>
      <c r="F7" s="341"/>
    </row>
    <row r="8" spans="1:6">
      <c r="A8" s="232" t="s">
        <v>586</v>
      </c>
      <c r="B8" s="228" t="s">
        <v>271</v>
      </c>
      <c r="C8" s="229" t="s">
        <v>204</v>
      </c>
      <c r="D8" s="276">
        <f>11.7+0.6+4.4+0.6+2+2+1.5+5.5+5.6+0.9*5+14.1+8.1+1.4</f>
        <v>62</v>
      </c>
      <c r="E8" s="342"/>
      <c r="F8" s="231">
        <f>E8*D8</f>
        <v>0</v>
      </c>
    </row>
    <row r="9" spans="1:6">
      <c r="A9" s="232" t="s">
        <v>587</v>
      </c>
      <c r="B9" s="228" t="s">
        <v>418</v>
      </c>
      <c r="C9" s="229" t="s">
        <v>204</v>
      </c>
      <c r="D9" s="276">
        <f>9+5.1+14+0.9+1</f>
        <v>30</v>
      </c>
      <c r="E9" s="342"/>
      <c r="F9" s="231">
        <f>E9*D9</f>
        <v>0</v>
      </c>
    </row>
    <row r="10" spans="1:6">
      <c r="A10" s="232" t="s">
        <v>588</v>
      </c>
      <c r="B10" s="228" t="s">
        <v>419</v>
      </c>
      <c r="C10" s="229" t="s">
        <v>204</v>
      </c>
      <c r="D10" s="276">
        <f>3.9+0.1</f>
        <v>4</v>
      </c>
      <c r="E10" s="342"/>
      <c r="F10" s="231">
        <f>E10*D10</f>
        <v>0</v>
      </c>
    </row>
    <row r="11" spans="1:6">
      <c r="A11" s="232"/>
      <c r="B11" s="228"/>
      <c r="C11" s="229"/>
      <c r="D11" s="276"/>
      <c r="E11" s="342"/>
      <c r="F11" s="231"/>
    </row>
    <row r="12" spans="1:6" ht="51">
      <c r="A12" s="227">
        <f>MAX($A$5:A11)+1</f>
        <v>2</v>
      </c>
      <c r="B12" s="228" t="s">
        <v>420</v>
      </c>
      <c r="C12" s="270"/>
      <c r="D12" s="270"/>
      <c r="E12" s="342"/>
      <c r="F12" s="341"/>
    </row>
    <row r="13" spans="1:6">
      <c r="A13" s="232" t="s">
        <v>586</v>
      </c>
      <c r="B13" s="228" t="s">
        <v>271</v>
      </c>
      <c r="C13" s="229" t="s">
        <v>204</v>
      </c>
      <c r="D13" s="276">
        <f>6.8+12.3+1.8+2.1+13.3+12.4+8.4+7+6+3.5+25+2.4+1.5+9.8+10+0.7+14.3+0.7+7+5</f>
        <v>150</v>
      </c>
      <c r="E13" s="342"/>
      <c r="F13" s="231">
        <f>E13*D13</f>
        <v>0</v>
      </c>
    </row>
    <row r="14" spans="1:6">
      <c r="A14" s="232" t="s">
        <v>587</v>
      </c>
      <c r="B14" s="228" t="s">
        <v>421</v>
      </c>
      <c r="C14" s="229" t="s">
        <v>204</v>
      </c>
      <c r="D14" s="276">
        <v>25</v>
      </c>
      <c r="E14" s="342"/>
      <c r="F14" s="231">
        <f>E14*D14</f>
        <v>0</v>
      </c>
    </row>
    <row r="15" spans="1:6">
      <c r="A15" s="232"/>
      <c r="B15" s="228"/>
      <c r="C15" s="229"/>
      <c r="D15" s="276"/>
      <c r="E15" s="342"/>
      <c r="F15" s="231"/>
    </row>
    <row r="16" spans="1:6" ht="51">
      <c r="A16" s="227">
        <f>MAX($A$5:A15)+1</f>
        <v>3</v>
      </c>
      <c r="B16" s="228" t="s">
        <v>642</v>
      </c>
      <c r="C16" s="270"/>
      <c r="D16" s="270"/>
      <c r="E16" s="342"/>
      <c r="F16" s="341"/>
    </row>
    <row r="17" spans="1:6">
      <c r="A17" s="232"/>
      <c r="B17" s="228" t="s">
        <v>271</v>
      </c>
      <c r="C17" s="229" t="s">
        <v>204</v>
      </c>
      <c r="D17" s="276">
        <f>3*5</f>
        <v>15</v>
      </c>
      <c r="E17" s="342"/>
      <c r="F17" s="231">
        <f>E17*D17</f>
        <v>0</v>
      </c>
    </row>
    <row r="18" spans="1:6">
      <c r="A18" s="232"/>
      <c r="B18" s="228"/>
      <c r="C18" s="229"/>
      <c r="D18" s="276"/>
      <c r="E18" s="342"/>
      <c r="F18" s="231"/>
    </row>
    <row r="19" spans="1:6" ht="51">
      <c r="A19" s="227">
        <f>MAX($A$5:A18)+1</f>
        <v>4</v>
      </c>
      <c r="B19" s="228" t="s">
        <v>642</v>
      </c>
      <c r="C19" s="270"/>
      <c r="D19" s="270"/>
      <c r="E19" s="342"/>
      <c r="F19" s="341"/>
    </row>
    <row r="20" spans="1:6">
      <c r="A20" s="232"/>
      <c r="B20" s="228" t="s">
        <v>743</v>
      </c>
      <c r="C20" s="229" t="s">
        <v>204</v>
      </c>
      <c r="D20" s="276">
        <v>2</v>
      </c>
      <c r="E20" s="342"/>
      <c r="F20" s="231">
        <f>E20*D20</f>
        <v>0</v>
      </c>
    </row>
    <row r="21" spans="1:6">
      <c r="A21" s="232"/>
      <c r="B21" s="228"/>
      <c r="C21" s="229"/>
      <c r="D21" s="276"/>
      <c r="E21" s="342"/>
      <c r="F21" s="231"/>
    </row>
    <row r="22" spans="1:6" ht="76.5">
      <c r="A22" s="227">
        <f>MAX($A$5:A21)+1</f>
        <v>5</v>
      </c>
      <c r="B22" s="228" t="s">
        <v>423</v>
      </c>
      <c r="C22" s="229" t="s">
        <v>10</v>
      </c>
      <c r="D22" s="276">
        <v>1</v>
      </c>
      <c r="E22" s="342"/>
      <c r="F22" s="231">
        <f>E22*D22</f>
        <v>0</v>
      </c>
    </row>
    <row r="23" spans="1:6">
      <c r="A23" s="343"/>
      <c r="B23" s="228"/>
      <c r="C23" s="229"/>
      <c r="D23" s="276"/>
      <c r="E23" s="342"/>
      <c r="F23" s="231"/>
    </row>
    <row r="24" spans="1:6" ht="63.75">
      <c r="A24" s="227">
        <f>MAX($A$5:A23)+1</f>
        <v>6</v>
      </c>
      <c r="B24" s="228" t="s">
        <v>422</v>
      </c>
      <c r="C24" s="229" t="s">
        <v>10</v>
      </c>
      <c r="D24" s="276">
        <v>1</v>
      </c>
      <c r="E24" s="342"/>
      <c r="F24" s="231">
        <f>E24*D24</f>
        <v>0</v>
      </c>
    </row>
    <row r="25" spans="1:6">
      <c r="A25" s="232"/>
      <c r="B25" s="228"/>
      <c r="C25" s="320"/>
      <c r="D25" s="230"/>
      <c r="E25" s="342"/>
      <c r="F25" s="231"/>
    </row>
    <row r="26" spans="1:6" ht="51">
      <c r="A26" s="227">
        <f>MAX($A$5:A25)+1</f>
        <v>7</v>
      </c>
      <c r="B26" s="228" t="s">
        <v>424</v>
      </c>
      <c r="C26" s="229" t="s">
        <v>10</v>
      </c>
      <c r="D26" s="276">
        <v>1</v>
      </c>
      <c r="E26" s="342"/>
      <c r="F26" s="231">
        <f>E26*D26</f>
        <v>0</v>
      </c>
    </row>
    <row r="27" spans="1:6">
      <c r="A27" s="232"/>
      <c r="B27" s="228"/>
      <c r="C27" s="320"/>
      <c r="D27" s="230"/>
      <c r="E27" s="342"/>
      <c r="F27" s="231"/>
    </row>
    <row r="28" spans="1:6" ht="38.25">
      <c r="A28" s="227">
        <f>MAX($A$5:A27)+1</f>
        <v>8</v>
      </c>
      <c r="B28" s="228" t="s">
        <v>291</v>
      </c>
      <c r="C28" s="320" t="s">
        <v>175</v>
      </c>
      <c r="D28" s="230">
        <v>5</v>
      </c>
      <c r="E28" s="342"/>
      <c r="F28" s="231">
        <f>E28*D28</f>
        <v>0</v>
      </c>
    </row>
    <row r="29" spans="1:6">
      <c r="A29" s="232"/>
      <c r="B29" s="228"/>
      <c r="C29" s="320"/>
      <c r="D29" s="230"/>
      <c r="E29" s="342"/>
      <c r="F29" s="231"/>
    </row>
    <row r="30" spans="1:6" ht="38.25">
      <c r="A30" s="227">
        <f>MAX($A$5:A29)+1</f>
        <v>9</v>
      </c>
      <c r="B30" s="228" t="s">
        <v>425</v>
      </c>
      <c r="C30" s="320" t="s">
        <v>204</v>
      </c>
      <c r="D30" s="230">
        <v>6.1</v>
      </c>
      <c r="E30" s="342"/>
      <c r="F30" s="231">
        <f>E30*D30</f>
        <v>0</v>
      </c>
    </row>
    <row r="31" spans="1:6">
      <c r="A31" s="232"/>
      <c r="B31" s="228"/>
      <c r="C31" s="320"/>
      <c r="D31" s="230"/>
      <c r="E31" s="342"/>
      <c r="F31" s="231"/>
    </row>
    <row r="32" spans="1:6" ht="80.25" customHeight="1">
      <c r="A32" s="227">
        <f>MAX($A$5:A31)+1</f>
        <v>10</v>
      </c>
      <c r="B32" s="228" t="s">
        <v>426</v>
      </c>
      <c r="C32" s="229" t="s">
        <v>10</v>
      </c>
      <c r="D32" s="276">
        <v>1</v>
      </c>
      <c r="E32" s="342"/>
      <c r="F32" s="231">
        <f>E32*D32</f>
        <v>0</v>
      </c>
    </row>
    <row r="33" spans="1:6">
      <c r="A33" s="232"/>
      <c r="B33" s="228"/>
      <c r="C33" s="320"/>
      <c r="D33" s="230"/>
      <c r="E33" s="342"/>
      <c r="F33" s="231"/>
    </row>
    <row r="34" spans="1:6" ht="25.5">
      <c r="A34" s="227">
        <f>MAX($A$5:A33)+1</f>
        <v>11</v>
      </c>
      <c r="B34" s="228" t="s">
        <v>287</v>
      </c>
      <c r="C34" s="270"/>
      <c r="D34" s="270"/>
      <c r="E34" s="342"/>
      <c r="F34" s="270"/>
    </row>
    <row r="35" spans="1:6">
      <c r="A35" s="232"/>
      <c r="B35" s="228" t="s">
        <v>427</v>
      </c>
      <c r="C35" s="320" t="s">
        <v>204</v>
      </c>
      <c r="D35" s="230">
        <f>42+8</f>
        <v>50</v>
      </c>
      <c r="E35" s="342"/>
      <c r="F35" s="231">
        <f>E35*D35</f>
        <v>0</v>
      </c>
    </row>
    <row r="36" spans="1:6">
      <c r="A36" s="232"/>
      <c r="B36" s="326"/>
      <c r="C36" s="345"/>
      <c r="D36" s="346"/>
      <c r="E36" s="347"/>
      <c r="F36" s="348"/>
    </row>
    <row r="37" spans="1:6">
      <c r="A37" s="349"/>
      <c r="B37" s="350"/>
      <c r="C37" s="351"/>
      <c r="D37" s="328"/>
      <c r="F37" s="278"/>
    </row>
    <row r="38" spans="1:6">
      <c r="A38" s="232"/>
      <c r="B38" s="352" t="s">
        <v>217</v>
      </c>
      <c r="C38" s="270"/>
      <c r="D38" s="353"/>
      <c r="E38" s="245"/>
      <c r="F38" s="246">
        <f>SUM(F7:F36)</f>
        <v>0</v>
      </c>
    </row>
    <row r="39" spans="1:6">
      <c r="A39" s="222"/>
      <c r="B39" s="266"/>
      <c r="C39" s="318"/>
      <c r="D39" s="236"/>
      <c r="E39" s="344"/>
      <c r="F39" s="257"/>
    </row>
    <row r="40" spans="1:6">
      <c r="A40" s="222"/>
      <c r="B40" s="266"/>
      <c r="C40" s="318"/>
      <c r="D40" s="236"/>
      <c r="E40" s="344"/>
      <c r="F40" s="257"/>
    </row>
    <row r="41" spans="1:6">
      <c r="A41" s="222"/>
      <c r="B41" s="266"/>
      <c r="C41" s="318"/>
      <c r="D41" s="236"/>
      <c r="E41" s="344"/>
      <c r="F41" s="257"/>
    </row>
  </sheetData>
  <sheetProtection algorithmName="SHA-512" hashValue="m5RzSSnM8+a6eS18dzHlkRmwUmNxPqCYjUkGsVgY3G3fgZLJcCRN5oBW+aUK/ika9/k2TEOLLkQd9WSabCgG9w==" saltValue="uovFITBkJmvVMHlLf5gzcg==" spinCount="100000" sheet="1" objects="1" scenarios="1"/>
  <mergeCells count="1">
    <mergeCell ref="B5:F5"/>
  </mergeCells>
  <pageMargins left="0.98425196850393704" right="0.35433070866141736" top="0.74803149606299213" bottom="0.74803149606299213" header="0.31496062992125984" footer="0.31496062992125984"/>
  <pageSetup paperSize="9" orientation="portrait" r:id="rId1"/>
  <headerFooter alignWithMargins="0">
    <oddHeader>&amp;C&amp;"Arial Narrow,Navadno"&amp;K00-033&amp;F; &amp;A</oddHeader>
    <oddFooter>&amp;C&amp;"Arial Narrow,Navadno"&amp;Y&amp;K00-034&amp;P od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37</vt:i4>
      </vt:variant>
      <vt:variant>
        <vt:lpstr>Imenovani obsegi</vt:lpstr>
      </vt:variant>
      <vt:variant>
        <vt:i4>61</vt:i4>
      </vt:variant>
    </vt:vector>
  </HeadingPairs>
  <TitlesOfParts>
    <vt:vector size="98" baseType="lpstr">
      <vt:lpstr>REKAPITULACIJA</vt:lpstr>
      <vt:lpstr>REKAPITULACIJA GO </vt:lpstr>
      <vt:lpstr>GRADBENA DELA</vt:lpstr>
      <vt:lpstr>I.Pripr._odstr. dela</vt:lpstr>
      <vt:lpstr>II.Zemeljska dela</vt:lpstr>
      <vt:lpstr>III.AB dela</vt:lpstr>
      <vt:lpstr>IV.Tesarska dela</vt:lpstr>
      <vt:lpstr>VI.Zidarska dela</vt:lpstr>
      <vt:lpstr>VII.Kanalizacija</vt:lpstr>
      <vt:lpstr>OBRTNIŠKA DELA</vt:lpstr>
      <vt:lpstr>I.Krovsko kleparska dela</vt:lpstr>
      <vt:lpstr>II. Zelena streha</vt:lpstr>
      <vt:lpstr>III.Ključavničarska dela</vt:lpstr>
      <vt:lpstr>III.Mizarska dela</vt:lpstr>
      <vt:lpstr>IV. Dvigalo</vt:lpstr>
      <vt:lpstr>V.ALU stavbno pohištvo</vt:lpstr>
      <vt:lpstr>VI. Mizarska dela</vt:lpstr>
      <vt:lpstr>VII.Keramičarska dela</vt:lpstr>
      <vt:lpstr>V.Kamnoseška dela</vt:lpstr>
      <vt:lpstr>VIII.Tlaki</vt:lpstr>
      <vt:lpstr>IX.Suhomontažna dela</vt:lpstr>
      <vt:lpstr>X.Slikopleskarska dela</vt:lpstr>
      <vt:lpstr>XI.Fasada</vt:lpstr>
      <vt:lpstr>XII. Prometna signalizacija </vt:lpstr>
      <vt:lpstr>XII. Razno</vt:lpstr>
      <vt:lpstr>II. Zidarska dela</vt:lpstr>
      <vt:lpstr>III. Tesarska dela</vt:lpstr>
      <vt:lpstr>B. OBRTNIŠKA DELA</vt:lpstr>
      <vt:lpstr>I. Krovsko kleparska dela</vt:lpstr>
      <vt:lpstr>II. Klučavničarska dela</vt:lpstr>
      <vt:lpstr>III. Alu in steklarska dela</vt:lpstr>
      <vt:lpstr>IV. Mizarska dela</vt:lpstr>
      <vt:lpstr> V. Pred. stene in spušč. str.</vt:lpstr>
      <vt:lpstr>VI. Keramičarska dela</vt:lpstr>
      <vt:lpstr>VII. Fasaderska dela</vt:lpstr>
      <vt:lpstr>VIII. Slikopleskarska dela</vt:lpstr>
      <vt:lpstr>IX. Razna obrtniška dela</vt:lpstr>
      <vt:lpstr>' V. Pred. stene in spušč. str.'!Področje_tiskanja</vt:lpstr>
      <vt:lpstr>'B. OBRTNIŠKA DELA'!Področje_tiskanja</vt:lpstr>
      <vt:lpstr>'GRADBENA DELA'!Področje_tiskanja</vt:lpstr>
      <vt:lpstr>'I. Krovsko kleparska dela'!Področje_tiskanja</vt:lpstr>
      <vt:lpstr>'I.Krovsko kleparska dela'!Področje_tiskanja</vt:lpstr>
      <vt:lpstr>'I.Pripr._odstr. dela'!Področje_tiskanja</vt:lpstr>
      <vt:lpstr>'II. Klučavničarska dela'!Področje_tiskanja</vt:lpstr>
      <vt:lpstr>'II. Zelena streha'!Področje_tiskanja</vt:lpstr>
      <vt:lpstr>'II.Zemeljska dela'!Področje_tiskanja</vt:lpstr>
      <vt:lpstr>'III. Alu in steklarska dela'!Področje_tiskanja</vt:lpstr>
      <vt:lpstr>'III. Tesarska dela'!Področje_tiskanja</vt:lpstr>
      <vt:lpstr>'III.AB dela'!Področje_tiskanja</vt:lpstr>
      <vt:lpstr>'III.Ključavničarska dela'!Področje_tiskanja</vt:lpstr>
      <vt:lpstr>'III.Mizarska dela'!Področje_tiskanja</vt:lpstr>
      <vt:lpstr>'IV. Dvigalo'!Področje_tiskanja</vt:lpstr>
      <vt:lpstr>'IV. Mizarska dela'!Področje_tiskanja</vt:lpstr>
      <vt:lpstr>'IV.Tesarska dela'!Področje_tiskanja</vt:lpstr>
      <vt:lpstr>'IX. Razna obrtniška dela'!Področje_tiskanja</vt:lpstr>
      <vt:lpstr>'IX.Suhomontažna dela'!Področje_tiskanja</vt:lpstr>
      <vt:lpstr>'OBRTNIŠKA DELA'!Področje_tiskanja</vt:lpstr>
      <vt:lpstr>REKAPITULACIJA!Področje_tiskanja</vt:lpstr>
      <vt:lpstr>'REKAPITULACIJA GO '!Področje_tiskanja</vt:lpstr>
      <vt:lpstr>'V.ALU stavbno pohištvo'!Področje_tiskanja</vt:lpstr>
      <vt:lpstr>'V.Kamnoseška dela'!Področje_tiskanja</vt:lpstr>
      <vt:lpstr>'VI. Keramičarska dela'!Področje_tiskanja</vt:lpstr>
      <vt:lpstr>'VI. Mizarska dela'!Področje_tiskanja</vt:lpstr>
      <vt:lpstr>'VI.Zidarska dela'!Področje_tiskanja</vt:lpstr>
      <vt:lpstr>'VII. Fasaderska dela'!Področje_tiskanja</vt:lpstr>
      <vt:lpstr>VII.Kanalizacija!Področje_tiskanja</vt:lpstr>
      <vt:lpstr>'VII.Keramičarska dela'!Področje_tiskanja</vt:lpstr>
      <vt:lpstr>'VIII. Slikopleskarska dela'!Področje_tiskanja</vt:lpstr>
      <vt:lpstr>VIII.Tlaki!Področje_tiskanja</vt:lpstr>
      <vt:lpstr>'X.Slikopleskarska dela'!Področje_tiskanja</vt:lpstr>
      <vt:lpstr>XI.Fasada!Področje_tiskanja</vt:lpstr>
      <vt:lpstr>'XII. Prometna signalizacija '!Področje_tiskanja</vt:lpstr>
      <vt:lpstr>'XII. Razno'!Področje_tiskanja</vt:lpstr>
      <vt:lpstr>'I. Krovsko kleparska dela'!Tiskanje_naslovov</vt:lpstr>
      <vt:lpstr>'I.Krovsko kleparska dela'!Tiskanje_naslovov</vt:lpstr>
      <vt:lpstr>'II. Klučavničarska dela'!Tiskanje_naslovov</vt:lpstr>
      <vt:lpstr>'II. Zelena streha'!Tiskanje_naslovov</vt:lpstr>
      <vt:lpstr>'II. Zidarska dela'!Tiskanje_naslovov</vt:lpstr>
      <vt:lpstr>'II.Zemeljska dela'!Tiskanje_naslovov</vt:lpstr>
      <vt:lpstr>'III. Alu in steklarska dela'!Tiskanje_naslovov</vt:lpstr>
      <vt:lpstr>'III.AB dela'!Tiskanje_naslovov</vt:lpstr>
      <vt:lpstr>'III.Ključavničarska dela'!Tiskanje_naslovov</vt:lpstr>
      <vt:lpstr>'III.Mizarska dela'!Tiskanje_naslovov</vt:lpstr>
      <vt:lpstr>'IV. Dvigalo'!Tiskanje_naslovov</vt:lpstr>
      <vt:lpstr>'IV.Tesarska dela'!Tiskanje_naslovov</vt:lpstr>
      <vt:lpstr>'IX. Razna obrtniška dela'!Tiskanje_naslovov</vt:lpstr>
      <vt:lpstr>'IX.Suhomontažna dela'!Tiskanje_naslovov</vt:lpstr>
      <vt:lpstr>'V.ALU stavbno pohištvo'!Tiskanje_naslovov</vt:lpstr>
      <vt:lpstr>'V.Kamnoseška dela'!Tiskanje_naslovov</vt:lpstr>
      <vt:lpstr>'VI. Mizarska dela'!Tiskanje_naslovov</vt:lpstr>
      <vt:lpstr>'VI.Zidarska dela'!Tiskanje_naslovov</vt:lpstr>
      <vt:lpstr>'VII. Fasaderska dela'!Tiskanje_naslovov</vt:lpstr>
      <vt:lpstr>'VII.Keramičarska dela'!Tiskanje_naslovov</vt:lpstr>
      <vt:lpstr>VIII.Tlaki!Tiskanje_naslovov</vt:lpstr>
      <vt:lpstr>'X.Slikopleskarska dela'!Tiskanje_naslovov</vt:lpstr>
      <vt:lpstr>XI.Fasada!Tiskanje_naslovov</vt:lpstr>
      <vt:lpstr>'XII. Prometna signalizacija '!Tiskanje_naslovov</vt:lpstr>
      <vt:lpstr>'XII. Razno'!Tiskanje_naslovov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MarjetaArh</dc:creator>
  <cp:lastModifiedBy>Uporabnik</cp:lastModifiedBy>
  <cp:lastPrinted>2024-09-12T13:18:07Z</cp:lastPrinted>
  <dcterms:created xsi:type="dcterms:W3CDTF">2004-02-12T13:55:20Z</dcterms:created>
  <dcterms:modified xsi:type="dcterms:W3CDTF">2024-10-03T06:31:38Z</dcterms:modified>
</cp:coreProperties>
</file>